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'2024'!$A$7:$IB$167</definedName>
    <definedName name="_xlnm.Print_Area" localSheetId="0">'2024'!$A$1:$L$167</definedName>
  </definedNames>
  <calcPr calcId="125725"/>
</workbook>
</file>

<file path=xl/calcChain.xml><?xml version="1.0" encoding="utf-8"?>
<calcChain xmlns="http://schemas.openxmlformats.org/spreadsheetml/2006/main">
  <c r="H39" i="2"/>
  <c r="L65" l="1"/>
  <c r="L64"/>
  <c r="L63"/>
  <c r="I65"/>
  <c r="I64"/>
  <c r="I63"/>
  <c r="H62"/>
  <c r="J62"/>
  <c r="K62"/>
  <c r="G62"/>
  <c r="K39"/>
  <c r="K37" s="1"/>
  <c r="H37"/>
  <c r="L144"/>
  <c r="I144"/>
  <c r="K88"/>
  <c r="L88" s="1"/>
  <c r="H88"/>
  <c r="H81" s="1"/>
  <c r="K48"/>
  <c r="L48" s="1"/>
  <c r="H48"/>
  <c r="H47" s="1"/>
  <c r="L10"/>
  <c r="L166"/>
  <c r="L165"/>
  <c r="L164"/>
  <c r="K163"/>
  <c r="L162"/>
  <c r="L161" s="1"/>
  <c r="L160" s="1"/>
  <c r="K161"/>
  <c r="K160" s="1"/>
  <c r="L159"/>
  <c r="L158"/>
  <c r="L157"/>
  <c r="K156"/>
  <c r="L155"/>
  <c r="L154" s="1"/>
  <c r="K154"/>
  <c r="L152"/>
  <c r="L151" s="1"/>
  <c r="K151"/>
  <c r="L150"/>
  <c r="L149" s="1"/>
  <c r="K149"/>
  <c r="L148"/>
  <c r="L147"/>
  <c r="K146"/>
  <c r="L145"/>
  <c r="K142"/>
  <c r="L140"/>
  <c r="L139"/>
  <c r="L138"/>
  <c r="L136"/>
  <c r="K135"/>
  <c r="K134" s="1"/>
  <c r="L133"/>
  <c r="L132"/>
  <c r="L131"/>
  <c r="L129"/>
  <c r="L128"/>
  <c r="L127"/>
  <c r="K126"/>
  <c r="K125" s="1"/>
  <c r="L124"/>
  <c r="L123" s="1"/>
  <c r="K123"/>
  <c r="L122"/>
  <c r="L121"/>
  <c r="K120"/>
  <c r="L119"/>
  <c r="L118"/>
  <c r="L117"/>
  <c r="K116"/>
  <c r="L115"/>
  <c r="L114"/>
  <c r="K113"/>
  <c r="L112"/>
  <c r="L110"/>
  <c r="L106"/>
  <c r="K105"/>
  <c r="L103"/>
  <c r="L102" s="1"/>
  <c r="K102"/>
  <c r="K100"/>
  <c r="L98"/>
  <c r="L97"/>
  <c r="K96"/>
  <c r="L95"/>
  <c r="L94" s="1"/>
  <c r="K94"/>
  <c r="L93"/>
  <c r="L92"/>
  <c r="L90"/>
  <c r="K89"/>
  <c r="L87"/>
  <c r="L86"/>
  <c r="L85"/>
  <c r="L83"/>
  <c r="L82"/>
  <c r="L80"/>
  <c r="L79"/>
  <c r="L78"/>
  <c r="L77"/>
  <c r="L76"/>
  <c r="L75"/>
  <c r="K74"/>
  <c r="L73"/>
  <c r="L72"/>
  <c r="L71"/>
  <c r="L70"/>
  <c r="L68"/>
  <c r="K67"/>
  <c r="L61"/>
  <c r="L60" s="1"/>
  <c r="K60"/>
  <c r="L59"/>
  <c r="L58"/>
  <c r="L57"/>
  <c r="K56"/>
  <c r="L55"/>
  <c r="L54"/>
  <c r="L53"/>
  <c r="L52"/>
  <c r="L51"/>
  <c r="L50"/>
  <c r="L49"/>
  <c r="L46"/>
  <c r="L45"/>
  <c r="L44"/>
  <c r="L43"/>
  <c r="L42"/>
  <c r="K41"/>
  <c r="L40"/>
  <c r="L38"/>
  <c r="L36"/>
  <c r="L35"/>
  <c r="K34"/>
  <c r="K31"/>
  <c r="L30"/>
  <c r="L29"/>
  <c r="L28"/>
  <c r="L26"/>
  <c r="L25"/>
  <c r="L24"/>
  <c r="L23"/>
  <c r="L21"/>
  <c r="K19"/>
  <c r="L18"/>
  <c r="L16"/>
  <c r="L15"/>
  <c r="L14"/>
  <c r="L12"/>
  <c r="L11"/>
  <c r="K9"/>
  <c r="H163"/>
  <c r="I166"/>
  <c r="I165"/>
  <c r="I164"/>
  <c r="I162"/>
  <c r="I161" s="1"/>
  <c r="I160" s="1"/>
  <c r="H161"/>
  <c r="H160" s="1"/>
  <c r="H156"/>
  <c r="H154"/>
  <c r="H151"/>
  <c r="I158"/>
  <c r="I157"/>
  <c r="I152"/>
  <c r="I151" s="1"/>
  <c r="I150"/>
  <c r="I149" s="1"/>
  <c r="I148"/>
  <c r="I147"/>
  <c r="I145"/>
  <c r="H149"/>
  <c r="H146"/>
  <c r="H142"/>
  <c r="H135"/>
  <c r="H134" s="1"/>
  <c r="I140"/>
  <c r="I139"/>
  <c r="I138"/>
  <c r="I136"/>
  <c r="I133"/>
  <c r="I132"/>
  <c r="I131"/>
  <c r="I129"/>
  <c r="I128"/>
  <c r="I127"/>
  <c r="H126"/>
  <c r="H125" s="1"/>
  <c r="H123"/>
  <c r="I124"/>
  <c r="I123" s="1"/>
  <c r="I122"/>
  <c r="I121"/>
  <c r="H120"/>
  <c r="H116"/>
  <c r="H113"/>
  <c r="I119"/>
  <c r="I118"/>
  <c r="I117"/>
  <c r="I115"/>
  <c r="I114"/>
  <c r="I112"/>
  <c r="I110"/>
  <c r="H102"/>
  <c r="H105"/>
  <c r="I106"/>
  <c r="I103"/>
  <c r="I102" s="1"/>
  <c r="H100"/>
  <c r="H96"/>
  <c r="H94"/>
  <c r="H89"/>
  <c r="I98"/>
  <c r="I97"/>
  <c r="I95"/>
  <c r="I94" s="1"/>
  <c r="I93"/>
  <c r="I92"/>
  <c r="I90"/>
  <c r="I87"/>
  <c r="I86"/>
  <c r="I85"/>
  <c r="I83"/>
  <c r="I82"/>
  <c r="I80"/>
  <c r="I79"/>
  <c r="H74"/>
  <c r="I78"/>
  <c r="I77"/>
  <c r="I76"/>
  <c r="I75"/>
  <c r="I73"/>
  <c r="I72"/>
  <c r="I71"/>
  <c r="I70"/>
  <c r="I68"/>
  <c r="I61"/>
  <c r="I60" s="1"/>
  <c r="I59"/>
  <c r="I58"/>
  <c r="I57"/>
  <c r="H67"/>
  <c r="H60"/>
  <c r="H56"/>
  <c r="I55"/>
  <c r="I54"/>
  <c r="I53"/>
  <c r="I52"/>
  <c r="I51"/>
  <c r="I50"/>
  <c r="I49"/>
  <c r="H34"/>
  <c r="H41"/>
  <c r="I46"/>
  <c r="I45"/>
  <c r="I44"/>
  <c r="I43"/>
  <c r="I42"/>
  <c r="I40"/>
  <c r="I38"/>
  <c r="I36"/>
  <c r="I35"/>
  <c r="H31"/>
  <c r="I30"/>
  <c r="I29"/>
  <c r="I28"/>
  <c r="I26"/>
  <c r="I25"/>
  <c r="I24"/>
  <c r="I23"/>
  <c r="I22"/>
  <c r="I21"/>
  <c r="H19"/>
  <c r="I11"/>
  <c r="I12"/>
  <c r="I14"/>
  <c r="I15"/>
  <c r="I16"/>
  <c r="I18"/>
  <c r="I10"/>
  <c r="H9"/>
  <c r="G155"/>
  <c r="I155" s="1"/>
  <c r="I154" s="1"/>
  <c r="G159"/>
  <c r="I159" s="1"/>
  <c r="J149"/>
  <c r="G149"/>
  <c r="J101"/>
  <c r="L101" s="1"/>
  <c r="L100" s="1"/>
  <c r="G101"/>
  <c r="I101" s="1"/>
  <c r="I100" s="1"/>
  <c r="G33"/>
  <c r="I33" s="1"/>
  <c r="J33"/>
  <c r="L33" s="1"/>
  <c r="J32"/>
  <c r="L32" s="1"/>
  <c r="G32"/>
  <c r="I32" s="1"/>
  <c r="J27"/>
  <c r="L27" s="1"/>
  <c r="G27"/>
  <c r="I27" s="1"/>
  <c r="J17"/>
  <c r="L17" s="1"/>
  <c r="G17"/>
  <c r="I17" s="1"/>
  <c r="J137"/>
  <c r="L137" s="1"/>
  <c r="G137"/>
  <c r="I137" s="1"/>
  <c r="J154"/>
  <c r="J107"/>
  <c r="L107" s="1"/>
  <c r="G107"/>
  <c r="I107" s="1"/>
  <c r="J108"/>
  <c r="L108" s="1"/>
  <c r="J109"/>
  <c r="L109" s="1"/>
  <c r="G108"/>
  <c r="I108" s="1"/>
  <c r="G109"/>
  <c r="I109" s="1"/>
  <c r="H66" l="1"/>
  <c r="I99"/>
  <c r="L113"/>
  <c r="L74"/>
  <c r="L99"/>
  <c r="L31"/>
  <c r="I96"/>
  <c r="I116"/>
  <c r="L156"/>
  <c r="L153" s="1"/>
  <c r="I34"/>
  <c r="K141"/>
  <c r="I41"/>
  <c r="I163"/>
  <c r="K99"/>
  <c r="K104"/>
  <c r="L135"/>
  <c r="L134" s="1"/>
  <c r="H99"/>
  <c r="I113"/>
  <c r="I120"/>
  <c r="I135"/>
  <c r="I134" s="1"/>
  <c r="I56"/>
  <c r="L34"/>
  <c r="L41"/>
  <c r="L56"/>
  <c r="L163"/>
  <c r="I156"/>
  <c r="I153" s="1"/>
  <c r="L116"/>
  <c r="L120"/>
  <c r="K153"/>
  <c r="I146"/>
  <c r="L96"/>
  <c r="L146"/>
  <c r="I74"/>
  <c r="H8"/>
  <c r="L62"/>
  <c r="I62"/>
  <c r="L47"/>
  <c r="K81"/>
  <c r="K66" s="1"/>
  <c r="I88"/>
  <c r="K47"/>
  <c r="K8" s="1"/>
  <c r="H153"/>
  <c r="H141"/>
  <c r="H104"/>
  <c r="I31"/>
  <c r="J143"/>
  <c r="L143" s="1"/>
  <c r="L142" s="1"/>
  <c r="J22"/>
  <c r="L22" s="1"/>
  <c r="G154"/>
  <c r="G143"/>
  <c r="H167" l="1"/>
  <c r="K167"/>
  <c r="L141"/>
  <c r="I143"/>
  <c r="I142" s="1"/>
  <c r="I141" s="1"/>
  <c r="G142"/>
  <c r="G48"/>
  <c r="G20"/>
  <c r="J163"/>
  <c r="J161"/>
  <c r="J160" s="1"/>
  <c r="J156"/>
  <c r="J153" s="1"/>
  <c r="J151"/>
  <c r="J146"/>
  <c r="J142"/>
  <c r="J135"/>
  <c r="J134" s="1"/>
  <c r="J130"/>
  <c r="J123"/>
  <c r="J120"/>
  <c r="J116"/>
  <c r="J113"/>
  <c r="J111"/>
  <c r="L111" s="1"/>
  <c r="L105" s="1"/>
  <c r="L104" s="1"/>
  <c r="J102"/>
  <c r="J100"/>
  <c r="J96"/>
  <c r="J94"/>
  <c r="J91"/>
  <c r="J84"/>
  <c r="J74"/>
  <c r="J69"/>
  <c r="J60"/>
  <c r="J56"/>
  <c r="J47"/>
  <c r="J41"/>
  <c r="J39"/>
  <c r="J34"/>
  <c r="J31"/>
  <c r="J20"/>
  <c r="J13"/>
  <c r="G39"/>
  <c r="G100"/>
  <c r="G135"/>
  <c r="G134" s="1"/>
  <c r="G156"/>
  <c r="G153" s="1"/>
  <c r="G163"/>
  <c r="G130"/>
  <c r="G111"/>
  <c r="I111" s="1"/>
  <c r="I105" s="1"/>
  <c r="I104" s="1"/>
  <c r="G91"/>
  <c r="G84"/>
  <c r="G69"/>
  <c r="G41"/>
  <c r="G13"/>
  <c r="G120"/>
  <c r="G151"/>
  <c r="G74"/>
  <c r="G96"/>
  <c r="G161"/>
  <c r="G160" s="1"/>
  <c r="G146"/>
  <c r="G60"/>
  <c r="G31"/>
  <c r="G34"/>
  <c r="G56"/>
  <c r="G94"/>
  <c r="G102"/>
  <c r="G113"/>
  <c r="G123"/>
  <c r="G116"/>
  <c r="G105" l="1"/>
  <c r="G104" s="1"/>
  <c r="G67"/>
  <c r="I69"/>
  <c r="I67" s="1"/>
  <c r="G126"/>
  <c r="G125" s="1"/>
  <c r="I130"/>
  <c r="I126" s="1"/>
  <c r="I125" s="1"/>
  <c r="G89"/>
  <c r="I91"/>
  <c r="I89" s="1"/>
  <c r="J37"/>
  <c r="L39"/>
  <c r="L37" s="1"/>
  <c r="J19"/>
  <c r="L20"/>
  <c r="L19" s="1"/>
  <c r="J67"/>
  <c r="L69"/>
  <c r="L67" s="1"/>
  <c r="J9"/>
  <c r="L13"/>
  <c r="L9" s="1"/>
  <c r="J89"/>
  <c r="L91"/>
  <c r="L89" s="1"/>
  <c r="G47"/>
  <c r="I48"/>
  <c r="I47" s="1"/>
  <c r="G9"/>
  <c r="I13"/>
  <c r="I9" s="1"/>
  <c r="G81"/>
  <c r="I84"/>
  <c r="I81" s="1"/>
  <c r="G37"/>
  <c r="I39"/>
  <c r="I37" s="1"/>
  <c r="J81"/>
  <c r="L84"/>
  <c r="L81" s="1"/>
  <c r="J126"/>
  <c r="J125" s="1"/>
  <c r="L130"/>
  <c r="L126" s="1"/>
  <c r="L125" s="1"/>
  <c r="G19"/>
  <c r="I20"/>
  <c r="I19" s="1"/>
  <c r="J141"/>
  <c r="G141"/>
  <c r="G99"/>
  <c r="J105"/>
  <c r="J104" s="1"/>
  <c r="J99"/>
  <c r="I66" l="1"/>
  <c r="J66"/>
  <c r="L66"/>
  <c r="G66"/>
  <c r="J177"/>
  <c r="J8"/>
  <c r="J167" s="1"/>
  <c r="L8"/>
  <c r="L167" s="1"/>
  <c r="G8"/>
  <c r="I8"/>
  <c r="I167" s="1"/>
  <c r="G177" l="1"/>
  <c r="G167"/>
  <c r="G175"/>
</calcChain>
</file>

<file path=xl/sharedStrings.xml><?xml version="1.0" encoding="utf-8"?>
<sst xmlns="http://schemas.openxmlformats.org/spreadsheetml/2006/main" count="929" uniqueCount="273">
  <si>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</si>
  <si>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</si>
  <si>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</si>
  <si>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</si>
  <si>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</si>
  <si>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</si>
  <si>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</si>
  <si>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</si>
  <si>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</si>
  <si>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</si>
  <si>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</si>
  <si>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</si>
  <si>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</si>
  <si>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</si>
  <si>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</si>
  <si>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</si>
  <si>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</si>
  <si>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</si>
  <si>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</si>
  <si>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</si>
  <si>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</si>
  <si>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</si>
  <si>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</si>
  <si>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</si>
  <si>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</si>
  <si>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</si>
  <si>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</si>
  <si>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</si>
  <si>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</si>
  <si>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</si>
  <si>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</si>
  <si>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</si>
  <si>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</si>
  <si>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</si>
  <si>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</si>
  <si>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</si>
  <si>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</si>
  <si>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</si>
  <si>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</si>
  <si>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</si>
  <si>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</si>
  <si>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</si>
  <si>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</si>
  <si>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</si>
  <si>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</si>
  <si>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</si>
  <si>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</si>
  <si>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</si>
  <si>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</si>
  <si>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</si>
  <si>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</si>
  <si>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</si>
  <si>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</si>
  <si>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</si>
  <si>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</si>
  <si>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</si>
  <si>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</si>
  <si>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</si>
  <si>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</si>
  <si>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</si>
  <si>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</si>
  <si>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</si>
  <si>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</si>
  <si>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</si>
  <si>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</si>
  <si>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</si>
  <si>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</si>
  <si>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</si>
  <si>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</si>
  <si>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</si>
  <si>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</si>
  <si>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</si>
  <si>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</si>
  <si>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</si>
  <si>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</si>
  <si>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</si>
  <si>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</si>
  <si>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</si>
  <si>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</si>
  <si>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</si>
  <si>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</si>
  <si>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</si>
  <si>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</si>
  <si>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</si>
  <si>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</si>
  <si>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00300</t>
  </si>
  <si>
    <t>00310</t>
  </si>
  <si>
    <t>13</t>
  </si>
  <si>
    <t>00380</t>
  </si>
  <si>
    <t>00360</t>
  </si>
  <si>
    <t>60070</t>
  </si>
  <si>
    <t>00290</t>
  </si>
  <si>
    <t>9152Г</t>
  </si>
  <si>
    <t>80350</t>
  </si>
  <si>
    <t>80360</t>
  </si>
  <si>
    <t>80370</t>
  </si>
  <si>
    <t>90010</t>
  </si>
  <si>
    <t>500</t>
  </si>
  <si>
    <t>400</t>
  </si>
  <si>
    <t>00510</t>
  </si>
  <si>
    <t>00520</t>
  </si>
  <si>
    <t>00530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</si>
  <si>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</si>
  <si>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</si>
  <si>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</si>
  <si>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</si>
  <si>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</si>
  <si>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</si>
  <si>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</si>
  <si>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</si>
  <si>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</si>
  <si>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</si>
  <si>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</si>
  <si>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</si>
  <si>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</si>
  <si>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</si>
  <si>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</si>
  <si>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</si>
  <si>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</si>
  <si>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</si>
  <si>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</si>
  <si>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</si>
  <si>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</si>
  <si>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</si>
  <si>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</si>
  <si>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</si>
  <si>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</si>
  <si>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</si>
  <si>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</si>
  <si>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</si>
  <si>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</si>
  <si>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</si>
  <si>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</si>
  <si>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</si>
  <si>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</si>
  <si>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</si>
  <si>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</si>
  <si>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</si>
  <si>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</si>
  <si>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</si>
  <si>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</si>
  <si>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</si>
  <si>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</si>
  <si>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</si>
  <si>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</si>
  <si>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</si>
  <si>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</si>
  <si>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</si>
  <si>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</si>
  <si>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</si>
  <si>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</si>
  <si>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</si>
  <si>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</si>
  <si>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</si>
  <si>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</si>
  <si>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</si>
  <si>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</si>
  <si>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</si>
  <si>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</si>
  <si>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</si>
  <si>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</si>
  <si>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</si>
  <si>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</si>
  <si>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</si>
  <si>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</si>
  <si>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</si>
  <si>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</si>
  <si>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</si>
  <si>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</si>
  <si>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</si>
  <si>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</si>
  <si>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</si>
  <si>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</si>
  <si>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</si>
  <si>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</si>
  <si>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</si>
  <si>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</si>
  <si>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</si>
  <si>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</si>
  <si>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</si>
  <si>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</si>
  <si>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</si>
  <si>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</si>
  <si>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</si>
  <si>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</si>
  <si>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</si>
  <si>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</si>
  <si>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</si>
  <si>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</si>
  <si>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</si>
  <si>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</si>
  <si>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</si>
  <si>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</si>
  <si>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</si>
  <si>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</si>
  <si>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</si>
  <si>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</si>
  <si>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</si>
  <si>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</si>
  <si>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</si>
  <si>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</si>
  <si>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</si>
  <si>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</si>
  <si>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</si>
  <si>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</si>
  <si>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</si>
  <si>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</si>
  <si>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</si>
  <si>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</si>
  <si>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</si>
  <si>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</si>
  <si>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</si>
  <si>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</si>
  <si>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</si>
  <si>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</si>
  <si>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</si>
  <si>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</si>
  <si>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</si>
  <si>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</si>
  <si>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89700</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</si>
  <si>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</si>
  <si>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</si>
  <si>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</si>
  <si>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</si>
  <si>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</si>
  <si>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</si>
  <si>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51792</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</si>
  <si>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</si>
  <si>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</si>
  <si>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</si>
  <si>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</si>
  <si>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</si>
  <si>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</si>
  <si>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</si>
  <si>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</si>
  <si>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</si>
  <si>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</si>
  <si>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</si>
  <si>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00710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</si>
  <si>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</si>
  <si>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</si>
  <si>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</si>
  <si>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</si>
  <si>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</si>
  <si>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</si>
  <si>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</si>
  <si>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</si>
  <si>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</si>
  <si>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</si>
  <si>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</si>
  <si>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</si>
  <si>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</si>
  <si>
    <t>SД007</t>
  </si>
  <si>
    <t>9Д001</t>
  </si>
  <si>
    <t>Основное мероприятие "Иные мероприятия, связанные с осуществлением дорожной деятельности"</t>
  </si>
  <si>
    <t>Проведение инженерных изысканий, обследований, разработка проектов и сметных расчетов стоимости работ, экспертиза проектов, сметных расчетов, осуществление строительного контроля. Оформление права собственности на дороги местного значения (Закупка товаров, работ и услуг для обеспечения государственных (муниципальных) нужд)</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</si>
  <si>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</si>
  <si>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9Д003</t>
  </si>
  <si>
    <t>9Д002</t>
  </si>
  <si>
    <t>Приложение № 5 к решению Совета 
Пучежского муниципального района 
от  17.12.2024  № 200</t>
  </si>
  <si>
    <t>Изменения, руб</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</si>
  <si>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</si>
  <si>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</si>
  <si>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</si>
  <si>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</si>
  <si>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</si>
  <si>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Федеральный проект "Все лучшее детям"</t>
  </si>
  <si>
    <t>Федеральный проект "Педагоги и наставники"</t>
  </si>
  <si>
    <t>Ю6</t>
  </si>
  <si>
    <t>53031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</si>
  <si>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</si>
  <si>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Сумма на 2026 год, руб</t>
  </si>
  <si>
    <t>Сумма на 2027 год, руб</t>
  </si>
</sst>
</file>

<file path=xl/styles.xml><?xml version="1.0" encoding="utf-8"?>
<styleSheet xmlns="http://schemas.openxmlformats.org/spreadsheetml/2006/main">
  <fonts count="14">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sz val="10"/>
      <color indexed="10"/>
      <name val="Arial Cyr"/>
      <charset val="204"/>
    </font>
    <font>
      <b/>
      <sz val="12"/>
      <name val="Arial Cyr"/>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65">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2" fillId="0" borderId="0" xfId="0" applyFont="1" applyFill="1"/>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3" fillId="0" borderId="0" xfId="0" applyFont="1"/>
    <xf numFmtId="0" fontId="0" fillId="0" borderId="0" xfId="0" applyFont="1" applyFill="1"/>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 fontId="0" fillId="0" borderId="0" xfId="0" applyNumberFormat="1"/>
    <xf numFmtId="0" fontId="6" fillId="7" borderId="2" xfId="0" applyFont="1" applyFill="1" applyBorder="1" applyAlignment="1">
      <alignment wrapText="1"/>
    </xf>
    <xf numFmtId="0" fontId="1" fillId="0" borderId="2" xfId="0" applyFont="1" applyBorder="1" applyAlignment="1">
      <alignment horizontal="justify" wrapText="1"/>
    </xf>
    <xf numFmtId="49" fontId="6" fillId="0" borderId="2" xfId="0" applyNumberFormat="1" applyFont="1" applyBorder="1" applyAlignment="1">
      <alignment horizontal="center"/>
    </xf>
    <xf numFmtId="0" fontId="1" fillId="0" borderId="0" xfId="0" applyFont="1" applyAlignment="1">
      <alignment horizontal="left" wrapText="1"/>
    </xf>
    <xf numFmtId="4" fontId="6" fillId="0" borderId="2" xfId="0" applyNumberFormat="1" applyFont="1" applyBorder="1" applyAlignment="1">
      <alignment horizontal="center"/>
    </xf>
    <xf numFmtId="4" fontId="1" fillId="0" borderId="0" xfId="0" applyNumberFormat="1" applyFont="1" applyAlignment="1">
      <alignment wrapText="1"/>
    </xf>
    <xf numFmtId="4" fontId="1" fillId="0" borderId="4"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9" fontId="4" fillId="0" borderId="0" xfId="0" applyNumberFormat="1" applyFont="1" applyAlignment="1">
      <alignment horizontal="right" wrapText="1"/>
    </xf>
    <xf numFmtId="0" fontId="3" fillId="0" borderId="0" xfId="0" applyFont="1" applyAlignment="1">
      <alignment horizontal="center" wrapText="1"/>
    </xf>
    <xf numFmtId="4" fontId="1" fillId="0" borderId="2" xfId="0" applyNumberFormat="1" applyFont="1" applyBorder="1" applyAlignment="1">
      <alignment horizontal="center" vertical="top"/>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B178"/>
  <sheetViews>
    <sheetView tabSelected="1" zoomScaleNormal="100" workbookViewId="0">
      <selection activeCell="N7" sqref="N7"/>
    </sheetView>
  </sheetViews>
  <sheetFormatPr defaultRowHeight="12.75"/>
  <cols>
    <col min="1" max="1" width="64.42578125" style="14" customWidth="1"/>
    <col min="2" max="2" width="5.42578125" style="4" customWidth="1"/>
    <col min="3" max="3" width="6.140625" style="4" customWidth="1"/>
    <col min="4" max="4" width="6.5703125" style="4" customWidth="1"/>
    <col min="5" max="5" width="7.85546875" style="4" customWidth="1"/>
    <col min="6" max="6" width="7.140625" style="4" customWidth="1"/>
    <col min="7" max="8" width="17" style="7" hidden="1" customWidth="1"/>
    <col min="9" max="9" width="17" style="7" customWidth="1"/>
    <col min="10" max="10" width="18.28515625" style="1" hidden="1" customWidth="1"/>
    <col min="11" max="11" width="17" style="7" hidden="1" customWidth="1"/>
    <col min="12" max="12" width="17" style="7" customWidth="1"/>
    <col min="13" max="16384" width="9.140625" style="1"/>
  </cols>
  <sheetData>
    <row r="1" spans="1:236" ht="42" customHeight="1">
      <c r="B1" s="58" t="s">
        <v>259</v>
      </c>
      <c r="C1" s="58"/>
      <c r="D1" s="58"/>
      <c r="E1" s="58"/>
      <c r="F1" s="58"/>
      <c r="G1" s="58"/>
      <c r="H1" s="58"/>
      <c r="I1" s="58"/>
      <c r="J1" s="58"/>
      <c r="K1" s="58"/>
      <c r="L1" s="58"/>
    </row>
    <row r="4" spans="1:236" ht="108.75" customHeight="1">
      <c r="A4" s="59" t="s">
        <v>248</v>
      </c>
      <c r="B4" s="59"/>
      <c r="C4" s="59"/>
      <c r="D4" s="59"/>
      <c r="E4" s="59"/>
      <c r="F4" s="59"/>
      <c r="G4" s="59"/>
      <c r="H4" s="59"/>
      <c r="I4" s="59"/>
      <c r="J4" s="59"/>
      <c r="K4" s="59"/>
      <c r="L4" s="59"/>
    </row>
    <row r="6" spans="1:236" ht="15.75" customHeight="1">
      <c r="A6" s="62" t="s">
        <v>31</v>
      </c>
      <c r="B6" s="61" t="s">
        <v>30</v>
      </c>
      <c r="C6" s="61"/>
      <c r="D6" s="61"/>
      <c r="E6" s="61"/>
      <c r="F6" s="63" t="s">
        <v>32</v>
      </c>
      <c r="G6" s="60" t="s">
        <v>33</v>
      </c>
      <c r="H6" s="54" t="s">
        <v>260</v>
      </c>
      <c r="I6" s="56" t="s">
        <v>271</v>
      </c>
      <c r="J6" s="60" t="s">
        <v>33</v>
      </c>
      <c r="K6" s="54" t="s">
        <v>260</v>
      </c>
      <c r="L6" s="56" t="s">
        <v>272</v>
      </c>
    </row>
    <row r="7" spans="1:236" ht="96.75" customHeight="1">
      <c r="A7" s="62"/>
      <c r="B7" s="5" t="s">
        <v>107</v>
      </c>
      <c r="C7" s="5" t="s">
        <v>108</v>
      </c>
      <c r="D7" s="5" t="s">
        <v>109</v>
      </c>
      <c r="E7" s="5" t="s">
        <v>110</v>
      </c>
      <c r="F7" s="64"/>
      <c r="G7" s="60"/>
      <c r="H7" s="55"/>
      <c r="I7" s="57"/>
      <c r="J7" s="60"/>
      <c r="K7" s="55"/>
      <c r="L7" s="57"/>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row>
    <row r="8" spans="1:236" ht="60" customHeight="1">
      <c r="A8" s="8" t="s">
        <v>111</v>
      </c>
      <c r="B8" s="19" t="s">
        <v>35</v>
      </c>
      <c r="C8" s="19" t="s">
        <v>36</v>
      </c>
      <c r="D8" s="19" t="s">
        <v>105</v>
      </c>
      <c r="E8" s="19" t="s">
        <v>152</v>
      </c>
      <c r="F8" s="20"/>
      <c r="G8" s="21">
        <f t="shared" ref="G8:L8" si="0">G9+G19+G31+G34+G37+G41+G47+G56+G60+G62</f>
        <v>165707782.28</v>
      </c>
      <c r="H8" s="21">
        <f t="shared" si="0"/>
        <v>22608025.450000003</v>
      </c>
      <c r="I8" s="21">
        <f t="shared" si="0"/>
        <v>188315807.72999999</v>
      </c>
      <c r="J8" s="21">
        <f t="shared" si="0"/>
        <v>154525492.34999999</v>
      </c>
      <c r="K8" s="21">
        <f t="shared" si="0"/>
        <v>218888819.74000001</v>
      </c>
      <c r="L8" s="21">
        <f t="shared" si="0"/>
        <v>373414312.08999997</v>
      </c>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row>
    <row r="9" spans="1:236" ht="48" customHeight="1">
      <c r="A9" s="23" t="s">
        <v>112</v>
      </c>
      <c r="B9" s="24" t="s">
        <v>35</v>
      </c>
      <c r="C9" s="24" t="s">
        <v>36</v>
      </c>
      <c r="D9" s="24" t="s">
        <v>35</v>
      </c>
      <c r="E9" s="24" t="s">
        <v>152</v>
      </c>
      <c r="F9" s="25"/>
      <c r="G9" s="26">
        <f>SUM(G10:G18)</f>
        <v>52839555.079999998</v>
      </c>
      <c r="H9" s="26">
        <f t="shared" ref="H9:I9" si="1">SUM(H10:H18)</f>
        <v>0</v>
      </c>
      <c r="I9" s="26">
        <f t="shared" si="1"/>
        <v>52839555.079999998</v>
      </c>
      <c r="J9" s="26">
        <f>SUM(J10:J18)</f>
        <v>52839555.079999998</v>
      </c>
      <c r="K9" s="26">
        <f t="shared" ref="K9" si="2">SUM(K10:K18)</f>
        <v>0</v>
      </c>
      <c r="L9" s="26">
        <f t="shared" ref="L9" si="3">SUM(L10:L18)</f>
        <v>52839555.079999998</v>
      </c>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ht="96" customHeight="1">
      <c r="A10" s="15" t="s">
        <v>154</v>
      </c>
      <c r="B10" s="3" t="s">
        <v>35</v>
      </c>
      <c r="C10" s="3" t="s">
        <v>36</v>
      </c>
      <c r="D10" s="3" t="s">
        <v>35</v>
      </c>
      <c r="E10" s="3" t="s">
        <v>37</v>
      </c>
      <c r="F10" s="3" t="s">
        <v>38</v>
      </c>
      <c r="G10" s="6">
        <v>11002853.880000001</v>
      </c>
      <c r="H10" s="6">
        <v>0</v>
      </c>
      <c r="I10" s="6">
        <f>G10+H10</f>
        <v>11002853.880000001</v>
      </c>
      <c r="J10" s="6">
        <v>11002853.880000001</v>
      </c>
      <c r="K10" s="6">
        <v>0</v>
      </c>
      <c r="L10" s="6">
        <f>J10+K10</f>
        <v>11002853.880000001</v>
      </c>
    </row>
    <row r="11" spans="1:236" ht="66.75" customHeight="1">
      <c r="A11" s="15" t="s">
        <v>179</v>
      </c>
      <c r="B11" s="3" t="s">
        <v>35</v>
      </c>
      <c r="C11" s="3" t="s">
        <v>36</v>
      </c>
      <c r="D11" s="3" t="s">
        <v>35</v>
      </c>
      <c r="E11" s="3" t="s">
        <v>37</v>
      </c>
      <c r="F11" s="3" t="s">
        <v>39</v>
      </c>
      <c r="G11" s="6">
        <v>5164387.2</v>
      </c>
      <c r="H11" s="6">
        <v>0</v>
      </c>
      <c r="I11" s="6">
        <f t="shared" ref="I11:I18" si="4">G11+H11</f>
        <v>5164387.2</v>
      </c>
      <c r="J11" s="6">
        <v>5164387.2</v>
      </c>
      <c r="K11" s="6">
        <v>0</v>
      </c>
      <c r="L11" s="6">
        <f t="shared" ref="L11:L18" si="5">J11+K11</f>
        <v>5164387.2</v>
      </c>
    </row>
    <row r="12" spans="1:236" ht="48" customHeight="1">
      <c r="A12" s="15" t="s">
        <v>19</v>
      </c>
      <c r="B12" s="3" t="s">
        <v>35</v>
      </c>
      <c r="C12" s="3" t="s">
        <v>36</v>
      </c>
      <c r="D12" s="3" t="s">
        <v>35</v>
      </c>
      <c r="E12" s="3" t="s">
        <v>37</v>
      </c>
      <c r="F12" s="3" t="s">
        <v>40</v>
      </c>
      <c r="G12" s="6">
        <v>76526</v>
      </c>
      <c r="H12" s="6">
        <v>0</v>
      </c>
      <c r="I12" s="6">
        <f t="shared" si="4"/>
        <v>76526</v>
      </c>
      <c r="J12" s="6">
        <v>76526</v>
      </c>
      <c r="K12" s="6">
        <v>0</v>
      </c>
      <c r="L12" s="6">
        <f t="shared" si="5"/>
        <v>76526</v>
      </c>
    </row>
    <row r="13" spans="1:236" ht="51" customHeight="1">
      <c r="A13" s="15" t="s">
        <v>180</v>
      </c>
      <c r="B13" s="3" t="s">
        <v>35</v>
      </c>
      <c r="C13" s="3" t="s">
        <v>36</v>
      </c>
      <c r="D13" s="3" t="s">
        <v>35</v>
      </c>
      <c r="E13" s="3" t="s">
        <v>41</v>
      </c>
      <c r="F13" s="3" t="s">
        <v>39</v>
      </c>
      <c r="G13" s="6">
        <f>918218+4349300</f>
        <v>5267518</v>
      </c>
      <c r="H13" s="6">
        <v>0</v>
      </c>
      <c r="I13" s="6">
        <f t="shared" si="4"/>
        <v>5267518</v>
      </c>
      <c r="J13" s="6">
        <f>918218+4349300</f>
        <v>5267518</v>
      </c>
      <c r="K13" s="6">
        <v>0</v>
      </c>
      <c r="L13" s="6">
        <f t="shared" si="5"/>
        <v>5267518</v>
      </c>
    </row>
    <row r="14" spans="1:236" ht="49.5" customHeight="1">
      <c r="A14" s="15" t="s">
        <v>181</v>
      </c>
      <c r="B14" s="3" t="s">
        <v>35</v>
      </c>
      <c r="C14" s="3" t="s">
        <v>36</v>
      </c>
      <c r="D14" s="3" t="s">
        <v>35</v>
      </c>
      <c r="E14" s="3" t="s">
        <v>42</v>
      </c>
      <c r="F14" s="3" t="s">
        <v>39</v>
      </c>
      <c r="G14" s="6">
        <v>634619</v>
      </c>
      <c r="H14" s="6">
        <v>0</v>
      </c>
      <c r="I14" s="6">
        <f t="shared" si="4"/>
        <v>634619</v>
      </c>
      <c r="J14" s="6">
        <v>634619</v>
      </c>
      <c r="K14" s="6">
        <v>0</v>
      </c>
      <c r="L14" s="6">
        <f t="shared" si="5"/>
        <v>634619</v>
      </c>
    </row>
    <row r="15" spans="1:236" ht="47.25" customHeight="1">
      <c r="A15" s="15" t="s">
        <v>182</v>
      </c>
      <c r="B15" s="3" t="s">
        <v>35</v>
      </c>
      <c r="C15" s="3" t="s">
        <v>36</v>
      </c>
      <c r="D15" s="3" t="s">
        <v>35</v>
      </c>
      <c r="E15" s="3" t="s">
        <v>43</v>
      </c>
      <c r="F15" s="3" t="s">
        <v>39</v>
      </c>
      <c r="G15" s="6">
        <v>189964</v>
      </c>
      <c r="H15" s="6">
        <v>0</v>
      </c>
      <c r="I15" s="6">
        <f t="shared" si="4"/>
        <v>189964</v>
      </c>
      <c r="J15" s="6">
        <v>189964</v>
      </c>
      <c r="K15" s="6">
        <v>0</v>
      </c>
      <c r="L15" s="6">
        <f t="shared" si="5"/>
        <v>189964</v>
      </c>
    </row>
    <row r="16" spans="1:236" ht="62.25" customHeight="1">
      <c r="A16" s="15" t="s">
        <v>183</v>
      </c>
      <c r="B16" s="3" t="s">
        <v>35</v>
      </c>
      <c r="C16" s="3" t="s">
        <v>36</v>
      </c>
      <c r="D16" s="3" t="s">
        <v>35</v>
      </c>
      <c r="E16" s="3" t="s">
        <v>44</v>
      </c>
      <c r="F16" s="3" t="s">
        <v>39</v>
      </c>
      <c r="G16" s="6">
        <v>223925</v>
      </c>
      <c r="H16" s="6">
        <v>0</v>
      </c>
      <c r="I16" s="6">
        <f t="shared" si="4"/>
        <v>223925</v>
      </c>
      <c r="J16" s="6">
        <v>223925</v>
      </c>
      <c r="K16" s="6">
        <v>0</v>
      </c>
      <c r="L16" s="6">
        <f t="shared" si="5"/>
        <v>223925</v>
      </c>
    </row>
    <row r="17" spans="1:12" ht="173.25" customHeight="1">
      <c r="A17" s="15" t="s">
        <v>155</v>
      </c>
      <c r="B17" s="3" t="s">
        <v>35</v>
      </c>
      <c r="C17" s="3" t="s">
        <v>36</v>
      </c>
      <c r="D17" s="3" t="s">
        <v>35</v>
      </c>
      <c r="E17" s="3" t="s">
        <v>45</v>
      </c>
      <c r="F17" s="3" t="s">
        <v>38</v>
      </c>
      <c r="G17" s="6">
        <f>30279762-131826</f>
        <v>30147936</v>
      </c>
      <c r="H17" s="6">
        <v>0</v>
      </c>
      <c r="I17" s="6">
        <f t="shared" si="4"/>
        <v>30147936</v>
      </c>
      <c r="J17" s="6">
        <f>30279762-131826</f>
        <v>30147936</v>
      </c>
      <c r="K17" s="6">
        <v>0</v>
      </c>
      <c r="L17" s="6">
        <f t="shared" si="5"/>
        <v>30147936</v>
      </c>
    </row>
    <row r="18" spans="1:12" ht="126.75" customHeight="1">
      <c r="A18" s="15" t="s">
        <v>184</v>
      </c>
      <c r="B18" s="3" t="s">
        <v>35</v>
      </c>
      <c r="C18" s="3" t="s">
        <v>36</v>
      </c>
      <c r="D18" s="3" t="s">
        <v>35</v>
      </c>
      <c r="E18" s="3" t="s">
        <v>45</v>
      </c>
      <c r="F18" s="3" t="s">
        <v>39</v>
      </c>
      <c r="G18" s="6">
        <v>131826</v>
      </c>
      <c r="H18" s="6">
        <v>0</v>
      </c>
      <c r="I18" s="6">
        <f t="shared" si="4"/>
        <v>131826</v>
      </c>
      <c r="J18" s="6">
        <v>131826</v>
      </c>
      <c r="K18" s="6">
        <v>0</v>
      </c>
      <c r="L18" s="6">
        <f t="shared" si="5"/>
        <v>131826</v>
      </c>
    </row>
    <row r="19" spans="1:12" s="9" customFormat="1" ht="47.25">
      <c r="A19" s="23" t="s">
        <v>113</v>
      </c>
      <c r="B19" s="27" t="s">
        <v>35</v>
      </c>
      <c r="C19" s="27" t="s">
        <v>36</v>
      </c>
      <c r="D19" s="27" t="s">
        <v>46</v>
      </c>
      <c r="E19" s="27" t="s">
        <v>152</v>
      </c>
      <c r="F19" s="27"/>
      <c r="G19" s="28">
        <f>SUM(G20:G30)</f>
        <v>85558222.180000007</v>
      </c>
      <c r="H19" s="28">
        <f t="shared" ref="H19:I19" si="6">SUM(H20:H30)</f>
        <v>-3671237.06</v>
      </c>
      <c r="I19" s="28">
        <f t="shared" si="6"/>
        <v>81886985.120000005</v>
      </c>
      <c r="J19" s="28">
        <f>SUM(J20:J30)</f>
        <v>79245454.769999996</v>
      </c>
      <c r="K19" s="28">
        <f t="shared" ref="K19" si="7">SUM(K20:K30)</f>
        <v>-15406.690000000002</v>
      </c>
      <c r="L19" s="28">
        <f t="shared" ref="L19" si="8">SUM(L20:L30)</f>
        <v>79230048.079999998</v>
      </c>
    </row>
    <row r="20" spans="1:12" ht="48" customHeight="1">
      <c r="A20" s="15" t="s">
        <v>180</v>
      </c>
      <c r="B20" s="3" t="s">
        <v>35</v>
      </c>
      <c r="C20" s="3" t="s">
        <v>36</v>
      </c>
      <c r="D20" s="3" t="s">
        <v>46</v>
      </c>
      <c r="E20" s="3" t="s">
        <v>41</v>
      </c>
      <c r="F20" s="3" t="s">
        <v>39</v>
      </c>
      <c r="G20" s="6">
        <f>15190+643000+2100000+758200</f>
        <v>3516390</v>
      </c>
      <c r="H20" s="6">
        <v>0</v>
      </c>
      <c r="I20" s="6">
        <f t="shared" ref="I20:I30" si="9">G20+H20</f>
        <v>3516390</v>
      </c>
      <c r="J20" s="6">
        <f>15190+643000+2100000+758200</f>
        <v>3516390</v>
      </c>
      <c r="K20" s="6">
        <v>0</v>
      </c>
      <c r="L20" s="6">
        <f t="shared" ref="L20:L30" si="10">J20+K20</f>
        <v>3516390</v>
      </c>
    </row>
    <row r="21" spans="1:12" ht="97.5" customHeight="1">
      <c r="A21" s="15" t="s">
        <v>156</v>
      </c>
      <c r="B21" s="3" t="s">
        <v>35</v>
      </c>
      <c r="C21" s="3" t="s">
        <v>36</v>
      </c>
      <c r="D21" s="3" t="s">
        <v>46</v>
      </c>
      <c r="E21" s="3" t="s">
        <v>47</v>
      </c>
      <c r="F21" s="3" t="s">
        <v>38</v>
      </c>
      <c r="G21" s="6">
        <v>12219249</v>
      </c>
      <c r="H21" s="6">
        <v>402.94</v>
      </c>
      <c r="I21" s="6">
        <f t="shared" si="9"/>
        <v>12219651.939999999</v>
      </c>
      <c r="J21" s="6">
        <v>12219249</v>
      </c>
      <c r="K21" s="6">
        <v>-15406.69</v>
      </c>
      <c r="L21" s="6">
        <f t="shared" si="10"/>
        <v>12203842.310000001</v>
      </c>
    </row>
    <row r="22" spans="1:12" ht="66" customHeight="1">
      <c r="A22" s="15" t="s">
        <v>185</v>
      </c>
      <c r="B22" s="3" t="s">
        <v>35</v>
      </c>
      <c r="C22" s="3" t="s">
        <v>36</v>
      </c>
      <c r="D22" s="3" t="s">
        <v>46</v>
      </c>
      <c r="E22" s="3" t="s">
        <v>47</v>
      </c>
      <c r="F22" s="3" t="s">
        <v>39</v>
      </c>
      <c r="G22" s="6">
        <v>13305245.18</v>
      </c>
      <c r="H22" s="6">
        <v>0</v>
      </c>
      <c r="I22" s="6">
        <f t="shared" si="9"/>
        <v>13305245.18</v>
      </c>
      <c r="J22" s="6">
        <f>13305245.18-2641127.41</f>
        <v>10664117.77</v>
      </c>
      <c r="K22" s="6">
        <v>0</v>
      </c>
      <c r="L22" s="6">
        <f t="shared" si="10"/>
        <v>10664117.77</v>
      </c>
    </row>
    <row r="23" spans="1:12" ht="49.5" customHeight="1">
      <c r="A23" s="15" t="s">
        <v>20</v>
      </c>
      <c r="B23" s="3" t="s">
        <v>35</v>
      </c>
      <c r="C23" s="3" t="s">
        <v>36</v>
      </c>
      <c r="D23" s="3" t="s">
        <v>46</v>
      </c>
      <c r="E23" s="3" t="s">
        <v>47</v>
      </c>
      <c r="F23" s="3" t="s">
        <v>40</v>
      </c>
      <c r="G23" s="6">
        <v>146976</v>
      </c>
      <c r="H23" s="6">
        <v>0</v>
      </c>
      <c r="I23" s="6">
        <f t="shared" si="9"/>
        <v>146976</v>
      </c>
      <c r="J23" s="6">
        <v>146976</v>
      </c>
      <c r="K23" s="6">
        <v>0</v>
      </c>
      <c r="L23" s="6">
        <f t="shared" si="10"/>
        <v>146976</v>
      </c>
    </row>
    <row r="24" spans="1:12" ht="51.75" customHeight="1">
      <c r="A24" s="15" t="s">
        <v>186</v>
      </c>
      <c r="B24" s="3" t="s">
        <v>35</v>
      </c>
      <c r="C24" s="3" t="s">
        <v>36</v>
      </c>
      <c r="D24" s="3" t="s">
        <v>46</v>
      </c>
      <c r="E24" s="3" t="s">
        <v>42</v>
      </c>
      <c r="F24" s="3" t="s">
        <v>39</v>
      </c>
      <c r="G24" s="6">
        <v>411922</v>
      </c>
      <c r="H24" s="6">
        <v>0</v>
      </c>
      <c r="I24" s="6">
        <f t="shared" si="9"/>
        <v>411922</v>
      </c>
      <c r="J24" s="6">
        <v>411922</v>
      </c>
      <c r="K24" s="6">
        <v>0</v>
      </c>
      <c r="L24" s="6">
        <f t="shared" si="10"/>
        <v>411922</v>
      </c>
    </row>
    <row r="25" spans="1:12" ht="48" customHeight="1">
      <c r="A25" s="15" t="s">
        <v>182</v>
      </c>
      <c r="B25" s="3" t="s">
        <v>35</v>
      </c>
      <c r="C25" s="3" t="s">
        <v>36</v>
      </c>
      <c r="D25" s="3" t="s">
        <v>46</v>
      </c>
      <c r="E25" s="3" t="s">
        <v>43</v>
      </c>
      <c r="F25" s="3" t="s">
        <v>39</v>
      </c>
      <c r="G25" s="6">
        <v>855992</v>
      </c>
      <c r="H25" s="6">
        <v>0</v>
      </c>
      <c r="I25" s="6">
        <f t="shared" si="9"/>
        <v>855992</v>
      </c>
      <c r="J25" s="6">
        <v>855992</v>
      </c>
      <c r="K25" s="6">
        <v>0</v>
      </c>
      <c r="L25" s="6">
        <f t="shared" si="10"/>
        <v>855992</v>
      </c>
    </row>
    <row r="26" spans="1:12" ht="63.75" customHeight="1">
      <c r="A26" s="15" t="s">
        <v>183</v>
      </c>
      <c r="B26" s="3" t="s">
        <v>35</v>
      </c>
      <c r="C26" s="3" t="s">
        <v>36</v>
      </c>
      <c r="D26" s="3" t="s">
        <v>46</v>
      </c>
      <c r="E26" s="3" t="s">
        <v>44</v>
      </c>
      <c r="F26" s="3" t="s">
        <v>39</v>
      </c>
      <c r="G26" s="6">
        <v>418283</v>
      </c>
      <c r="H26" s="6">
        <v>0</v>
      </c>
      <c r="I26" s="6">
        <f t="shared" si="9"/>
        <v>418283</v>
      </c>
      <c r="J26" s="6">
        <v>418283</v>
      </c>
      <c r="K26" s="6">
        <v>0</v>
      </c>
      <c r="L26" s="6">
        <f t="shared" si="10"/>
        <v>418283</v>
      </c>
    </row>
    <row r="27" spans="1:12" ht="205.5" customHeight="1">
      <c r="A27" s="15" t="s">
        <v>157</v>
      </c>
      <c r="B27" s="3" t="s">
        <v>35</v>
      </c>
      <c r="C27" s="3" t="s">
        <v>36</v>
      </c>
      <c r="D27" s="3" t="s">
        <v>46</v>
      </c>
      <c r="E27" s="3" t="s">
        <v>48</v>
      </c>
      <c r="F27" s="3" t="s">
        <v>38</v>
      </c>
      <c r="G27" s="6">
        <f>48809541-1135401</f>
        <v>47674140</v>
      </c>
      <c r="H27" s="6">
        <v>-2610</v>
      </c>
      <c r="I27" s="6">
        <f t="shared" si="9"/>
        <v>47671530</v>
      </c>
      <c r="J27" s="6">
        <f>48809541-1135401</f>
        <v>47674140</v>
      </c>
      <c r="K27" s="6">
        <v>-2610</v>
      </c>
      <c r="L27" s="6">
        <f t="shared" si="10"/>
        <v>47671530</v>
      </c>
    </row>
    <row r="28" spans="1:12" ht="174.75" customHeight="1">
      <c r="A28" s="15" t="s">
        <v>187</v>
      </c>
      <c r="B28" s="3" t="s">
        <v>35</v>
      </c>
      <c r="C28" s="3" t="s">
        <v>36</v>
      </c>
      <c r="D28" s="3" t="s">
        <v>46</v>
      </c>
      <c r="E28" s="3" t="s">
        <v>48</v>
      </c>
      <c r="F28" s="3" t="s">
        <v>39</v>
      </c>
      <c r="G28" s="6">
        <v>1135401</v>
      </c>
      <c r="H28" s="6">
        <v>2610</v>
      </c>
      <c r="I28" s="6">
        <f t="shared" si="9"/>
        <v>1138011</v>
      </c>
      <c r="J28" s="6">
        <v>1135401</v>
      </c>
      <c r="K28" s="6">
        <v>2610</v>
      </c>
      <c r="L28" s="6">
        <f t="shared" si="10"/>
        <v>1138011</v>
      </c>
    </row>
    <row r="29" spans="1:12" ht="191.25" customHeight="1">
      <c r="A29" s="15" t="s">
        <v>232</v>
      </c>
      <c r="B29" s="3" t="s">
        <v>35</v>
      </c>
      <c r="C29" s="3" t="s">
        <v>36</v>
      </c>
      <c r="D29" s="3" t="s">
        <v>46</v>
      </c>
      <c r="E29" s="3" t="s">
        <v>231</v>
      </c>
      <c r="F29" s="3" t="s">
        <v>38</v>
      </c>
      <c r="G29" s="6">
        <v>2202984</v>
      </c>
      <c r="H29" s="6">
        <v>0</v>
      </c>
      <c r="I29" s="6">
        <f t="shared" si="9"/>
        <v>2202984</v>
      </c>
      <c r="J29" s="6">
        <v>2202984</v>
      </c>
      <c r="K29" s="6">
        <v>0</v>
      </c>
      <c r="L29" s="6">
        <f t="shared" si="10"/>
        <v>2202984</v>
      </c>
    </row>
    <row r="30" spans="1:12" ht="255.75" customHeight="1">
      <c r="A30" s="15" t="s">
        <v>224</v>
      </c>
      <c r="B30" s="3" t="s">
        <v>35</v>
      </c>
      <c r="C30" s="3" t="s">
        <v>36</v>
      </c>
      <c r="D30" s="3" t="s">
        <v>46</v>
      </c>
      <c r="E30" s="3" t="s">
        <v>223</v>
      </c>
      <c r="F30" s="3" t="s">
        <v>38</v>
      </c>
      <c r="G30" s="6">
        <v>3671640</v>
      </c>
      <c r="H30" s="6">
        <v>-3671640</v>
      </c>
      <c r="I30" s="6">
        <f t="shared" si="9"/>
        <v>0</v>
      </c>
      <c r="J30" s="6">
        <v>0</v>
      </c>
      <c r="K30" s="6">
        <v>0</v>
      </c>
      <c r="L30" s="6">
        <f t="shared" si="10"/>
        <v>0</v>
      </c>
    </row>
    <row r="31" spans="1:12" s="9" customFormat="1" ht="50.25" customHeight="1">
      <c r="A31" s="23" t="s">
        <v>114</v>
      </c>
      <c r="B31" s="27" t="s">
        <v>35</v>
      </c>
      <c r="C31" s="27" t="s">
        <v>36</v>
      </c>
      <c r="D31" s="27" t="s">
        <v>49</v>
      </c>
      <c r="E31" s="27" t="s">
        <v>152</v>
      </c>
      <c r="F31" s="27"/>
      <c r="G31" s="28">
        <f t="shared" ref="G31:L31" si="11">SUM(G32:G33)</f>
        <v>9706861.7600000016</v>
      </c>
      <c r="H31" s="28">
        <f t="shared" si="11"/>
        <v>0</v>
      </c>
      <c r="I31" s="28">
        <f t="shared" si="11"/>
        <v>9706861.7600000016</v>
      </c>
      <c r="J31" s="28">
        <f t="shared" si="11"/>
        <v>9706861.7600000016</v>
      </c>
      <c r="K31" s="28">
        <f t="shared" si="11"/>
        <v>0</v>
      </c>
      <c r="L31" s="28">
        <f t="shared" si="11"/>
        <v>9706861.7600000016</v>
      </c>
    </row>
    <row r="32" spans="1:12" ht="64.5" customHeight="1">
      <c r="A32" s="34" t="s">
        <v>200</v>
      </c>
      <c r="B32" s="3" t="s">
        <v>35</v>
      </c>
      <c r="C32" s="3" t="s">
        <v>36</v>
      </c>
      <c r="D32" s="3" t="s">
        <v>49</v>
      </c>
      <c r="E32" s="3" t="s">
        <v>50</v>
      </c>
      <c r="F32" s="3" t="s">
        <v>71</v>
      </c>
      <c r="G32" s="6">
        <f>7669157.36-4347705.6</f>
        <v>3321451.7600000007</v>
      </c>
      <c r="H32" s="6">
        <v>0</v>
      </c>
      <c r="I32" s="6">
        <f>G32+H32</f>
        <v>3321451.7600000007</v>
      </c>
      <c r="J32" s="6">
        <f>7669157.36-4347705.6</f>
        <v>3321451.7600000007</v>
      </c>
      <c r="K32" s="6">
        <v>0</v>
      </c>
      <c r="L32" s="6">
        <f>J32+K32</f>
        <v>3321451.7600000007</v>
      </c>
    </row>
    <row r="33" spans="1:12" ht="81.75" customHeight="1">
      <c r="A33" s="34" t="s">
        <v>139</v>
      </c>
      <c r="B33" s="3" t="s">
        <v>35</v>
      </c>
      <c r="C33" s="3" t="s">
        <v>36</v>
      </c>
      <c r="D33" s="3" t="s">
        <v>49</v>
      </c>
      <c r="E33" s="3" t="s">
        <v>138</v>
      </c>
      <c r="F33" s="3" t="s">
        <v>71</v>
      </c>
      <c r="G33" s="6">
        <f>4347705.6+2037704.4</f>
        <v>6385410</v>
      </c>
      <c r="H33" s="6">
        <v>0</v>
      </c>
      <c r="I33" s="6">
        <f t="shared" ref="I33" si="12">G33+H33</f>
        <v>6385410</v>
      </c>
      <c r="J33" s="6">
        <f>4347705.6+2037704.4</f>
        <v>6385410</v>
      </c>
      <c r="K33" s="6">
        <v>0</v>
      </c>
      <c r="L33" s="6">
        <f t="shared" ref="L33" si="13">J33+K33</f>
        <v>6385410</v>
      </c>
    </row>
    <row r="34" spans="1:12" s="9" customFormat="1" ht="47.25">
      <c r="A34" s="23" t="s">
        <v>115</v>
      </c>
      <c r="B34" s="27" t="s">
        <v>35</v>
      </c>
      <c r="C34" s="27" t="s">
        <v>36</v>
      </c>
      <c r="D34" s="27" t="s">
        <v>52</v>
      </c>
      <c r="E34" s="27" t="s">
        <v>152</v>
      </c>
      <c r="F34" s="27"/>
      <c r="G34" s="28">
        <f>SUM(G35:G36)</f>
        <v>216988</v>
      </c>
      <c r="H34" s="28">
        <f t="shared" ref="H34:I34" si="14">SUM(H35:H36)</f>
        <v>0</v>
      </c>
      <c r="I34" s="28">
        <f t="shared" si="14"/>
        <v>216988</v>
      </c>
      <c r="J34" s="28">
        <f>SUM(J35:J36)</f>
        <v>0</v>
      </c>
      <c r="K34" s="28">
        <f t="shared" ref="K34" si="15">SUM(K35:K36)</f>
        <v>0</v>
      </c>
      <c r="L34" s="28">
        <f t="shared" ref="L34" si="16">SUM(L35:L36)</f>
        <v>0</v>
      </c>
    </row>
    <row r="35" spans="1:12" ht="63">
      <c r="A35" s="15" t="s">
        <v>221</v>
      </c>
      <c r="B35" s="3" t="s">
        <v>35</v>
      </c>
      <c r="C35" s="3" t="s">
        <v>36</v>
      </c>
      <c r="D35" s="3" t="s">
        <v>52</v>
      </c>
      <c r="E35" s="3" t="s">
        <v>220</v>
      </c>
      <c r="F35" s="3" t="s">
        <v>39</v>
      </c>
      <c r="G35" s="6">
        <v>29500</v>
      </c>
      <c r="H35" s="6">
        <v>0</v>
      </c>
      <c r="I35" s="6">
        <f t="shared" ref="I35:I36" si="17">G35+H35</f>
        <v>29500</v>
      </c>
      <c r="J35" s="6">
        <v>0</v>
      </c>
      <c r="K35" s="6">
        <v>0</v>
      </c>
      <c r="L35" s="6">
        <f t="shared" ref="L35:L36" si="18">J35+K35</f>
        <v>0</v>
      </c>
    </row>
    <row r="36" spans="1:12" ht="93.75" customHeight="1">
      <c r="A36" s="15" t="s">
        <v>158</v>
      </c>
      <c r="B36" s="3" t="s">
        <v>35</v>
      </c>
      <c r="C36" s="3" t="s">
        <v>36</v>
      </c>
      <c r="D36" s="3" t="s">
        <v>52</v>
      </c>
      <c r="E36" s="3" t="s">
        <v>56</v>
      </c>
      <c r="F36" s="3" t="s">
        <v>38</v>
      </c>
      <c r="G36" s="6">
        <v>187488</v>
      </c>
      <c r="H36" s="6">
        <v>0</v>
      </c>
      <c r="I36" s="6">
        <f t="shared" si="17"/>
        <v>187488</v>
      </c>
      <c r="J36" s="6">
        <v>0</v>
      </c>
      <c r="K36" s="6">
        <v>0</v>
      </c>
      <c r="L36" s="6">
        <f t="shared" si="18"/>
        <v>0</v>
      </c>
    </row>
    <row r="37" spans="1:12" s="9" customFormat="1" ht="31.5">
      <c r="A37" s="23" t="s">
        <v>116</v>
      </c>
      <c r="B37" s="27" t="s">
        <v>35</v>
      </c>
      <c r="C37" s="27" t="s">
        <v>36</v>
      </c>
      <c r="D37" s="27" t="s">
        <v>51</v>
      </c>
      <c r="E37" s="27" t="s">
        <v>152</v>
      </c>
      <c r="F37" s="27"/>
      <c r="G37" s="28">
        <f t="shared" ref="G37:L37" si="19">SUM(G38:G40)</f>
        <v>664814</v>
      </c>
      <c r="H37" s="28">
        <f t="shared" si="19"/>
        <v>-131859</v>
      </c>
      <c r="I37" s="28">
        <f t="shared" si="19"/>
        <v>532955</v>
      </c>
      <c r="J37" s="28">
        <f t="shared" si="19"/>
        <v>464814</v>
      </c>
      <c r="K37" s="28">
        <f t="shared" si="19"/>
        <v>-131859</v>
      </c>
      <c r="L37" s="28">
        <f t="shared" si="19"/>
        <v>332955</v>
      </c>
    </row>
    <row r="38" spans="1:12" ht="48" customHeight="1">
      <c r="A38" s="15" t="s">
        <v>188</v>
      </c>
      <c r="B38" s="3" t="s">
        <v>35</v>
      </c>
      <c r="C38" s="3" t="s">
        <v>36</v>
      </c>
      <c r="D38" s="3" t="s">
        <v>51</v>
      </c>
      <c r="E38" s="3" t="s">
        <v>58</v>
      </c>
      <c r="F38" s="3" t="s">
        <v>39</v>
      </c>
      <c r="G38" s="6">
        <v>200000</v>
      </c>
      <c r="H38" s="6">
        <v>0</v>
      </c>
      <c r="I38" s="6">
        <f t="shared" ref="I38:I40" si="20">G38+H38</f>
        <v>200000</v>
      </c>
      <c r="J38" s="6">
        <v>0</v>
      </c>
      <c r="K38" s="6">
        <v>0</v>
      </c>
      <c r="L38" s="6">
        <f t="shared" ref="L38:L40" si="21">J38+K38</f>
        <v>0</v>
      </c>
    </row>
    <row r="39" spans="1:12" ht="63">
      <c r="A39" s="15" t="s">
        <v>204</v>
      </c>
      <c r="B39" s="3" t="s">
        <v>35</v>
      </c>
      <c r="C39" s="3" t="s">
        <v>36</v>
      </c>
      <c r="D39" s="3" t="s">
        <v>51</v>
      </c>
      <c r="E39" s="3" t="s">
        <v>59</v>
      </c>
      <c r="F39" s="3" t="s">
        <v>39</v>
      </c>
      <c r="G39" s="6">
        <f>20874+412230</f>
        <v>433104</v>
      </c>
      <c r="H39" s="6">
        <f>-126840-2826.76-2192.24</f>
        <v>-131859</v>
      </c>
      <c r="I39" s="6">
        <f t="shared" si="20"/>
        <v>301245</v>
      </c>
      <c r="J39" s="6">
        <f>20874+412230</f>
        <v>433104</v>
      </c>
      <c r="K39" s="6">
        <f>-126840-5019</f>
        <v>-131859</v>
      </c>
      <c r="L39" s="6">
        <f t="shared" si="21"/>
        <v>301245</v>
      </c>
    </row>
    <row r="40" spans="1:12" ht="78.75">
      <c r="A40" s="15" t="s">
        <v>205</v>
      </c>
      <c r="B40" s="3" t="s">
        <v>35</v>
      </c>
      <c r="C40" s="3" t="s">
        <v>36</v>
      </c>
      <c r="D40" s="3" t="s">
        <v>51</v>
      </c>
      <c r="E40" s="3" t="s">
        <v>60</v>
      </c>
      <c r="F40" s="3" t="s">
        <v>39</v>
      </c>
      <c r="G40" s="6">
        <v>31710</v>
      </c>
      <c r="H40" s="6">
        <v>0</v>
      </c>
      <c r="I40" s="6">
        <f t="shared" si="20"/>
        <v>31710</v>
      </c>
      <c r="J40" s="6">
        <v>31710</v>
      </c>
      <c r="K40" s="6">
        <v>0</v>
      </c>
      <c r="L40" s="6">
        <f t="shared" si="21"/>
        <v>31710</v>
      </c>
    </row>
    <row r="41" spans="1:12" s="9" customFormat="1" ht="47.25">
      <c r="A41" s="23" t="s">
        <v>117</v>
      </c>
      <c r="B41" s="27" t="s">
        <v>35</v>
      </c>
      <c r="C41" s="27" t="s">
        <v>36</v>
      </c>
      <c r="D41" s="27" t="s">
        <v>54</v>
      </c>
      <c r="E41" s="27" t="s">
        <v>152</v>
      </c>
      <c r="F41" s="27"/>
      <c r="G41" s="28">
        <f t="shared" ref="G41:L41" si="22">SUM(G42:G46)</f>
        <v>454300</v>
      </c>
      <c r="H41" s="28">
        <f t="shared" si="22"/>
        <v>0</v>
      </c>
      <c r="I41" s="28">
        <f t="shared" si="22"/>
        <v>454300</v>
      </c>
      <c r="J41" s="28">
        <f t="shared" si="22"/>
        <v>14681</v>
      </c>
      <c r="K41" s="28">
        <f t="shared" si="22"/>
        <v>0</v>
      </c>
      <c r="L41" s="28">
        <f t="shared" si="22"/>
        <v>14681</v>
      </c>
    </row>
    <row r="42" spans="1:12" ht="63">
      <c r="A42" s="37" t="s">
        <v>168</v>
      </c>
      <c r="B42" s="3" t="s">
        <v>35</v>
      </c>
      <c r="C42" s="3" t="s">
        <v>36</v>
      </c>
      <c r="D42" s="3" t="s">
        <v>54</v>
      </c>
      <c r="E42" s="3" t="s">
        <v>170</v>
      </c>
      <c r="F42" s="3" t="s">
        <v>39</v>
      </c>
      <c r="G42" s="6">
        <v>30000</v>
      </c>
      <c r="H42" s="6">
        <v>0</v>
      </c>
      <c r="I42" s="6">
        <f t="shared" ref="I42:I46" si="23">G42+H42</f>
        <v>30000</v>
      </c>
      <c r="J42" s="6">
        <v>0</v>
      </c>
      <c r="K42" s="6">
        <v>0</v>
      </c>
      <c r="L42" s="6">
        <f t="shared" ref="L42:L46" si="24">J42+K42</f>
        <v>0</v>
      </c>
    </row>
    <row r="43" spans="1:12" ht="63">
      <c r="A43" s="37" t="s">
        <v>230</v>
      </c>
      <c r="B43" s="3" t="s">
        <v>35</v>
      </c>
      <c r="C43" s="3" t="s">
        <v>36</v>
      </c>
      <c r="D43" s="3" t="s">
        <v>54</v>
      </c>
      <c r="E43" s="3" t="s">
        <v>170</v>
      </c>
      <c r="F43" s="3" t="s">
        <v>71</v>
      </c>
      <c r="G43" s="6">
        <v>20000</v>
      </c>
      <c r="H43" s="6">
        <v>0</v>
      </c>
      <c r="I43" s="6">
        <f t="shared" si="23"/>
        <v>20000</v>
      </c>
      <c r="J43" s="6">
        <v>0</v>
      </c>
      <c r="K43" s="6">
        <v>0</v>
      </c>
      <c r="L43" s="6">
        <f t="shared" si="24"/>
        <v>0</v>
      </c>
    </row>
    <row r="44" spans="1:12" ht="63" customHeight="1">
      <c r="A44" s="37" t="s">
        <v>169</v>
      </c>
      <c r="B44" s="3" t="s">
        <v>35</v>
      </c>
      <c r="C44" s="3" t="s">
        <v>36</v>
      </c>
      <c r="D44" s="3" t="s">
        <v>54</v>
      </c>
      <c r="E44" s="3" t="s">
        <v>171</v>
      </c>
      <c r="F44" s="3" t="s">
        <v>71</v>
      </c>
      <c r="G44" s="6">
        <v>50000</v>
      </c>
      <c r="H44" s="6">
        <v>0</v>
      </c>
      <c r="I44" s="6">
        <f t="shared" si="23"/>
        <v>50000</v>
      </c>
      <c r="J44" s="6">
        <v>0</v>
      </c>
      <c r="K44" s="6">
        <v>0</v>
      </c>
      <c r="L44" s="6">
        <f t="shared" si="24"/>
        <v>0</v>
      </c>
    </row>
    <row r="45" spans="1:12" ht="35.25" customHeight="1">
      <c r="A45" s="16" t="s">
        <v>206</v>
      </c>
      <c r="B45" s="3" t="s">
        <v>35</v>
      </c>
      <c r="C45" s="3" t="s">
        <v>36</v>
      </c>
      <c r="D45" s="3" t="s">
        <v>54</v>
      </c>
      <c r="E45" s="3" t="s">
        <v>61</v>
      </c>
      <c r="F45" s="3" t="s">
        <v>39</v>
      </c>
      <c r="G45" s="6">
        <v>100000</v>
      </c>
      <c r="H45" s="6">
        <v>0</v>
      </c>
      <c r="I45" s="6">
        <f t="shared" si="23"/>
        <v>100000</v>
      </c>
      <c r="J45" s="6">
        <v>14681</v>
      </c>
      <c r="K45" s="6">
        <v>0</v>
      </c>
      <c r="L45" s="6">
        <f t="shared" si="24"/>
        <v>14681</v>
      </c>
    </row>
    <row r="46" spans="1:12" ht="77.25" customHeight="1">
      <c r="A46" s="15" t="s">
        <v>190</v>
      </c>
      <c r="B46" s="3" t="s">
        <v>35</v>
      </c>
      <c r="C46" s="3" t="s">
        <v>36</v>
      </c>
      <c r="D46" s="3" t="s">
        <v>54</v>
      </c>
      <c r="E46" s="3" t="s">
        <v>62</v>
      </c>
      <c r="F46" s="3" t="s">
        <v>38</v>
      </c>
      <c r="G46" s="6">
        <v>254300</v>
      </c>
      <c r="H46" s="6">
        <v>0</v>
      </c>
      <c r="I46" s="6">
        <f t="shared" si="23"/>
        <v>254300</v>
      </c>
      <c r="J46" s="6">
        <v>0</v>
      </c>
      <c r="K46" s="6">
        <v>0</v>
      </c>
      <c r="L46" s="6">
        <f t="shared" si="24"/>
        <v>0</v>
      </c>
    </row>
    <row r="47" spans="1:12" s="9" customFormat="1" ht="47.25">
      <c r="A47" s="23" t="s">
        <v>118</v>
      </c>
      <c r="B47" s="27" t="s">
        <v>35</v>
      </c>
      <c r="C47" s="27" t="s">
        <v>36</v>
      </c>
      <c r="D47" s="27" t="s">
        <v>34</v>
      </c>
      <c r="E47" s="27" t="s">
        <v>152</v>
      </c>
      <c r="F47" s="27"/>
      <c r="G47" s="28">
        <f>SUM(G48:G55)</f>
        <v>9973530.8600000013</v>
      </c>
      <c r="H47" s="28">
        <f t="shared" ref="H47:I47" si="25">SUM(H48:H55)</f>
        <v>-149856.55999999997</v>
      </c>
      <c r="I47" s="28">
        <f t="shared" si="25"/>
        <v>9823674.3000000007</v>
      </c>
      <c r="J47" s="28">
        <f>SUM(J48:J55)</f>
        <v>5960615.3399999999</v>
      </c>
      <c r="K47" s="28">
        <f t="shared" ref="K47" si="26">SUM(K48:K55)</f>
        <v>3713372.67</v>
      </c>
      <c r="L47" s="28">
        <f t="shared" ref="L47" si="27">SUM(L48:L55)</f>
        <v>9673988.0099999998</v>
      </c>
    </row>
    <row r="48" spans="1:12" ht="112.5" customHeight="1">
      <c r="A48" s="15" t="s">
        <v>222</v>
      </c>
      <c r="B48" s="3" t="s">
        <v>35</v>
      </c>
      <c r="C48" s="3" t="s">
        <v>36</v>
      </c>
      <c r="D48" s="3" t="s">
        <v>34</v>
      </c>
      <c r="E48" s="3" t="s">
        <v>63</v>
      </c>
      <c r="F48" s="3" t="s">
        <v>39</v>
      </c>
      <c r="G48" s="6">
        <f>3998234.52+14681</f>
        <v>4012915.52</v>
      </c>
      <c r="H48" s="6">
        <f>-302152.42+2826.76</f>
        <v>-299325.65999999997</v>
      </c>
      <c r="I48" s="6">
        <f t="shared" ref="I48:I55" si="28">G48+H48</f>
        <v>3713589.86</v>
      </c>
      <c r="J48" s="6">
        <v>0</v>
      </c>
      <c r="K48" s="6">
        <f>3530119.2+18579.57</f>
        <v>3548698.77</v>
      </c>
      <c r="L48" s="6">
        <f t="shared" ref="L48:L55" si="29">J48+K48</f>
        <v>3548698.77</v>
      </c>
    </row>
    <row r="49" spans="1:12" ht="79.5" customHeight="1">
      <c r="A49" s="15" t="s">
        <v>207</v>
      </c>
      <c r="B49" s="3" t="s">
        <v>35</v>
      </c>
      <c r="C49" s="3" t="s">
        <v>36</v>
      </c>
      <c r="D49" s="3" t="s">
        <v>34</v>
      </c>
      <c r="E49" s="3" t="s">
        <v>64</v>
      </c>
      <c r="F49" s="3" t="s">
        <v>39</v>
      </c>
      <c r="G49" s="33">
        <v>2146250</v>
      </c>
      <c r="H49" s="6">
        <v>0</v>
      </c>
      <c r="I49" s="6">
        <f t="shared" si="28"/>
        <v>2146250</v>
      </c>
      <c r="J49" s="33">
        <v>2146250</v>
      </c>
      <c r="K49" s="6">
        <v>0</v>
      </c>
      <c r="L49" s="6">
        <f t="shared" si="29"/>
        <v>2146250</v>
      </c>
    </row>
    <row r="50" spans="1:12" ht="129" customHeight="1">
      <c r="A50" s="15" t="s">
        <v>208</v>
      </c>
      <c r="B50" s="3" t="s">
        <v>35</v>
      </c>
      <c r="C50" s="3" t="s">
        <v>36</v>
      </c>
      <c r="D50" s="3" t="s">
        <v>34</v>
      </c>
      <c r="E50" s="3" t="s">
        <v>65</v>
      </c>
      <c r="F50" s="3" t="s">
        <v>39</v>
      </c>
      <c r="G50" s="6">
        <v>219744</v>
      </c>
      <c r="H50" s="6">
        <v>0</v>
      </c>
      <c r="I50" s="6">
        <f t="shared" si="28"/>
        <v>219744</v>
      </c>
      <c r="J50" s="6">
        <v>219744</v>
      </c>
      <c r="K50" s="6">
        <v>0</v>
      </c>
      <c r="L50" s="6">
        <f t="shared" si="29"/>
        <v>219744</v>
      </c>
    </row>
    <row r="51" spans="1:12" ht="94.5">
      <c r="A51" s="15" t="s">
        <v>8</v>
      </c>
      <c r="B51" s="3" t="s">
        <v>35</v>
      </c>
      <c r="C51" s="3" t="s">
        <v>36</v>
      </c>
      <c r="D51" s="3" t="s">
        <v>34</v>
      </c>
      <c r="E51" s="3" t="s">
        <v>66</v>
      </c>
      <c r="F51" s="3" t="s">
        <v>55</v>
      </c>
      <c r="G51" s="6">
        <v>526275.78</v>
      </c>
      <c r="H51" s="6">
        <v>0</v>
      </c>
      <c r="I51" s="6">
        <f t="shared" si="28"/>
        <v>526275.78</v>
      </c>
      <c r="J51" s="6">
        <v>526275.78</v>
      </c>
      <c r="K51" s="6">
        <v>0</v>
      </c>
      <c r="L51" s="6">
        <f t="shared" si="29"/>
        <v>526275.78</v>
      </c>
    </row>
    <row r="52" spans="1:12" ht="101.25" customHeight="1">
      <c r="A52" s="15" t="s">
        <v>236</v>
      </c>
      <c r="B52" s="3" t="s">
        <v>35</v>
      </c>
      <c r="C52" s="3" t="s">
        <v>36</v>
      </c>
      <c r="D52" s="3" t="s">
        <v>34</v>
      </c>
      <c r="E52" s="3" t="s">
        <v>237</v>
      </c>
      <c r="F52" s="3" t="s">
        <v>39</v>
      </c>
      <c r="G52" s="6">
        <v>1593112.5</v>
      </c>
      <c r="H52" s="6">
        <v>0</v>
      </c>
      <c r="I52" s="6">
        <f t="shared" si="28"/>
        <v>1593112.5</v>
      </c>
      <c r="J52" s="6">
        <v>1593112.5</v>
      </c>
      <c r="K52" s="6">
        <v>0</v>
      </c>
      <c r="L52" s="6">
        <f t="shared" si="29"/>
        <v>1593112.5</v>
      </c>
    </row>
    <row r="53" spans="1:12" ht="409.5" customHeight="1">
      <c r="A53" s="15" t="s">
        <v>245</v>
      </c>
      <c r="B53" s="3" t="s">
        <v>35</v>
      </c>
      <c r="C53" s="3" t="s">
        <v>36</v>
      </c>
      <c r="D53" s="3" t="s">
        <v>34</v>
      </c>
      <c r="E53" s="3" t="s">
        <v>219</v>
      </c>
      <c r="F53" s="3" t="s">
        <v>39</v>
      </c>
      <c r="G53" s="6">
        <v>203821.5</v>
      </c>
      <c r="H53" s="6">
        <v>149469.1</v>
      </c>
      <c r="I53" s="6">
        <f t="shared" si="28"/>
        <v>353290.6</v>
      </c>
      <c r="J53" s="6">
        <v>203821.5</v>
      </c>
      <c r="K53" s="6">
        <v>164673.9</v>
      </c>
      <c r="L53" s="6">
        <f t="shared" si="29"/>
        <v>368495.4</v>
      </c>
    </row>
    <row r="54" spans="1:12" s="44" customFormat="1" ht="114" customHeight="1">
      <c r="A54" s="34" t="s">
        <v>241</v>
      </c>
      <c r="B54" s="35" t="s">
        <v>35</v>
      </c>
      <c r="C54" s="35" t="s">
        <v>36</v>
      </c>
      <c r="D54" s="35" t="s">
        <v>34</v>
      </c>
      <c r="E54" s="35" t="s">
        <v>240</v>
      </c>
      <c r="F54" s="35" t="s">
        <v>55</v>
      </c>
      <c r="G54" s="33">
        <v>1180000</v>
      </c>
      <c r="H54" s="6">
        <v>0</v>
      </c>
      <c r="I54" s="6">
        <f t="shared" si="28"/>
        <v>1180000</v>
      </c>
      <c r="J54" s="33">
        <v>1180000</v>
      </c>
      <c r="K54" s="6">
        <v>0</v>
      </c>
      <c r="L54" s="6">
        <f t="shared" si="29"/>
        <v>1180000</v>
      </c>
    </row>
    <row r="55" spans="1:12" ht="380.25" customHeight="1">
      <c r="A55" s="15" t="s">
        <v>228</v>
      </c>
      <c r="B55" s="3" t="s">
        <v>35</v>
      </c>
      <c r="C55" s="3" t="s">
        <v>36</v>
      </c>
      <c r="D55" s="3" t="s">
        <v>34</v>
      </c>
      <c r="E55" s="3" t="s">
        <v>225</v>
      </c>
      <c r="F55" s="3" t="s">
        <v>39</v>
      </c>
      <c r="G55" s="6">
        <v>91411.56</v>
      </c>
      <c r="H55" s="6">
        <v>0</v>
      </c>
      <c r="I55" s="6">
        <f t="shared" si="28"/>
        <v>91411.56</v>
      </c>
      <c r="J55" s="6">
        <v>91411.56</v>
      </c>
      <c r="K55" s="6">
        <v>0</v>
      </c>
      <c r="L55" s="6">
        <f t="shared" si="29"/>
        <v>91411.56</v>
      </c>
    </row>
    <row r="56" spans="1:12" s="9" customFormat="1" ht="47.25">
      <c r="A56" s="23" t="s">
        <v>119</v>
      </c>
      <c r="B56" s="27" t="s">
        <v>35</v>
      </c>
      <c r="C56" s="27" t="s">
        <v>36</v>
      </c>
      <c r="D56" s="27" t="s">
        <v>67</v>
      </c>
      <c r="E56" s="27" t="s">
        <v>152</v>
      </c>
      <c r="F56" s="27"/>
      <c r="G56" s="28">
        <f>SUM(G57:G59)</f>
        <v>6293510.4000000004</v>
      </c>
      <c r="H56" s="28">
        <f t="shared" ref="H56:I56" si="30">SUM(H57:H59)</f>
        <v>0</v>
      </c>
      <c r="I56" s="28">
        <f t="shared" si="30"/>
        <v>6293510.4000000004</v>
      </c>
      <c r="J56" s="28">
        <f>SUM(J57:J59)</f>
        <v>6293510.4000000004</v>
      </c>
      <c r="K56" s="28">
        <f t="shared" ref="K56" si="31">SUM(K57:K59)</f>
        <v>0</v>
      </c>
      <c r="L56" s="28">
        <f t="shared" ref="L56" si="32">SUM(L57:L59)</f>
        <v>6293510.4000000004</v>
      </c>
    </row>
    <row r="57" spans="1:12" ht="110.25">
      <c r="A57" s="15" t="s">
        <v>159</v>
      </c>
      <c r="B57" s="3" t="s">
        <v>35</v>
      </c>
      <c r="C57" s="3" t="s">
        <v>36</v>
      </c>
      <c r="D57" s="3" t="s">
        <v>67</v>
      </c>
      <c r="E57" s="3" t="s">
        <v>68</v>
      </c>
      <c r="F57" s="3" t="s">
        <v>38</v>
      </c>
      <c r="G57" s="6">
        <v>5314744.4000000004</v>
      </c>
      <c r="H57" s="6">
        <v>0</v>
      </c>
      <c r="I57" s="6">
        <f t="shared" ref="I57:I59" si="33">G57+H57</f>
        <v>5314744.4000000004</v>
      </c>
      <c r="J57" s="6">
        <v>5314744.4000000004</v>
      </c>
      <c r="K57" s="6">
        <v>0</v>
      </c>
      <c r="L57" s="6">
        <f t="shared" ref="L57:L59" si="34">J57+K57</f>
        <v>5314744.4000000004</v>
      </c>
    </row>
    <row r="58" spans="1:12" ht="78.75">
      <c r="A58" s="15" t="s">
        <v>209</v>
      </c>
      <c r="B58" s="3" t="s">
        <v>35</v>
      </c>
      <c r="C58" s="3" t="s">
        <v>36</v>
      </c>
      <c r="D58" s="3" t="s">
        <v>67</v>
      </c>
      <c r="E58" s="3" t="s">
        <v>68</v>
      </c>
      <c r="F58" s="3" t="s">
        <v>39</v>
      </c>
      <c r="G58" s="6">
        <v>972766</v>
      </c>
      <c r="H58" s="6">
        <v>0</v>
      </c>
      <c r="I58" s="6">
        <f t="shared" si="33"/>
        <v>972766</v>
      </c>
      <c r="J58" s="6">
        <v>972766</v>
      </c>
      <c r="K58" s="6">
        <v>0</v>
      </c>
      <c r="L58" s="6">
        <f t="shared" si="34"/>
        <v>972766</v>
      </c>
    </row>
    <row r="59" spans="1:12" ht="63">
      <c r="A59" s="15" t="s">
        <v>21</v>
      </c>
      <c r="B59" s="3" t="s">
        <v>35</v>
      </c>
      <c r="C59" s="3" t="s">
        <v>36</v>
      </c>
      <c r="D59" s="3" t="s">
        <v>67</v>
      </c>
      <c r="E59" s="3" t="s">
        <v>68</v>
      </c>
      <c r="F59" s="3" t="s">
        <v>40</v>
      </c>
      <c r="G59" s="6">
        <v>6000</v>
      </c>
      <c r="H59" s="6">
        <v>0</v>
      </c>
      <c r="I59" s="6">
        <f t="shared" si="33"/>
        <v>6000</v>
      </c>
      <c r="J59" s="6">
        <v>6000</v>
      </c>
      <c r="K59" s="6">
        <v>0</v>
      </c>
      <c r="L59" s="6">
        <f t="shared" si="34"/>
        <v>6000</v>
      </c>
    </row>
    <row r="60" spans="1:12" ht="34.5" customHeight="1">
      <c r="A60" s="39" t="s">
        <v>266</v>
      </c>
      <c r="B60" s="40" t="s">
        <v>35</v>
      </c>
      <c r="C60" s="40" t="s">
        <v>36</v>
      </c>
      <c r="D60" s="40" t="s">
        <v>263</v>
      </c>
      <c r="E60" s="40" t="s">
        <v>152</v>
      </c>
      <c r="F60" s="40" t="s">
        <v>227</v>
      </c>
      <c r="G60" s="41">
        <f>G61</f>
        <v>0</v>
      </c>
      <c r="H60" s="41">
        <f t="shared" ref="H60:I60" si="35">H61</f>
        <v>17544795.920000002</v>
      </c>
      <c r="I60" s="41">
        <f t="shared" si="35"/>
        <v>17544795.920000002</v>
      </c>
      <c r="J60" s="41">
        <f>J61</f>
        <v>0</v>
      </c>
      <c r="K60" s="41">
        <f t="shared" ref="K60" si="36">K61</f>
        <v>206306530.61000001</v>
      </c>
      <c r="L60" s="41">
        <f t="shared" ref="L60" si="37">L61</f>
        <v>206306530.61000001</v>
      </c>
    </row>
    <row r="61" spans="1:12" ht="102" customHeight="1">
      <c r="A61" s="34" t="s">
        <v>265</v>
      </c>
      <c r="B61" s="35" t="s">
        <v>35</v>
      </c>
      <c r="C61" s="35" t="s">
        <v>36</v>
      </c>
      <c r="D61" s="35" t="s">
        <v>263</v>
      </c>
      <c r="E61" s="35" t="s">
        <v>264</v>
      </c>
      <c r="F61" s="35" t="s">
        <v>39</v>
      </c>
      <c r="G61" s="33">
        <v>0</v>
      </c>
      <c r="H61" s="6">
        <v>17544795.920000002</v>
      </c>
      <c r="I61" s="6">
        <f t="shared" ref="I61:I65" si="38">G61+H61</f>
        <v>17544795.920000002</v>
      </c>
      <c r="J61" s="33">
        <v>0</v>
      </c>
      <c r="K61" s="6">
        <v>206306530.61000001</v>
      </c>
      <c r="L61" s="6">
        <f t="shared" ref="L61:L65" si="39">J61+K61</f>
        <v>206306530.61000001</v>
      </c>
    </row>
    <row r="62" spans="1:12" ht="34.5" customHeight="1">
      <c r="A62" s="39" t="s">
        <v>267</v>
      </c>
      <c r="B62" s="40" t="s">
        <v>35</v>
      </c>
      <c r="C62" s="40" t="s">
        <v>36</v>
      </c>
      <c r="D62" s="40" t="s">
        <v>268</v>
      </c>
      <c r="E62" s="40" t="s">
        <v>152</v>
      </c>
      <c r="F62" s="40" t="s">
        <v>227</v>
      </c>
      <c r="G62" s="41">
        <f>SUM(G63:G65)</f>
        <v>0</v>
      </c>
      <c r="H62" s="41">
        <f t="shared" ref="H62:L62" si="40">SUM(H63:H65)</f>
        <v>9016182.1500000004</v>
      </c>
      <c r="I62" s="41">
        <f t="shared" si="40"/>
        <v>9016182.1500000004</v>
      </c>
      <c r="J62" s="41">
        <f t="shared" si="40"/>
        <v>0</v>
      </c>
      <c r="K62" s="41">
        <f t="shared" si="40"/>
        <v>9016182.1500000004</v>
      </c>
      <c r="L62" s="41">
        <f t="shared" si="40"/>
        <v>9016182.1500000004</v>
      </c>
    </row>
    <row r="63" spans="1:12" ht="216.75" customHeight="1">
      <c r="A63" s="34" t="s">
        <v>244</v>
      </c>
      <c r="B63" s="35" t="s">
        <v>35</v>
      </c>
      <c r="C63" s="35" t="s">
        <v>36</v>
      </c>
      <c r="D63" s="35" t="s">
        <v>268</v>
      </c>
      <c r="E63" s="35" t="s">
        <v>243</v>
      </c>
      <c r="F63" s="35" t="s">
        <v>38</v>
      </c>
      <c r="G63" s="33">
        <v>0</v>
      </c>
      <c r="H63" s="6">
        <v>390600</v>
      </c>
      <c r="I63" s="6">
        <f t="shared" si="38"/>
        <v>390600</v>
      </c>
      <c r="J63" s="33">
        <v>0</v>
      </c>
      <c r="K63" s="6">
        <v>390600</v>
      </c>
      <c r="L63" s="6">
        <f t="shared" si="39"/>
        <v>390600</v>
      </c>
    </row>
    <row r="64" spans="1:12" ht="193.5" customHeight="1">
      <c r="A64" s="34" t="s">
        <v>270</v>
      </c>
      <c r="B64" s="35" t="s">
        <v>35</v>
      </c>
      <c r="C64" s="35" t="s">
        <v>36</v>
      </c>
      <c r="D64" s="35" t="s">
        <v>268</v>
      </c>
      <c r="E64" s="35" t="s">
        <v>226</v>
      </c>
      <c r="F64" s="35" t="s">
        <v>38</v>
      </c>
      <c r="G64" s="33">
        <v>0</v>
      </c>
      <c r="H64" s="6">
        <v>1282302.1499999999</v>
      </c>
      <c r="I64" s="6">
        <f t="shared" si="38"/>
        <v>1282302.1499999999</v>
      </c>
      <c r="J64" s="33">
        <v>0</v>
      </c>
      <c r="K64" s="6">
        <v>1282302.1499999999</v>
      </c>
      <c r="L64" s="6">
        <f t="shared" si="39"/>
        <v>1282302.1499999999</v>
      </c>
    </row>
    <row r="65" spans="1:12" ht="261" customHeight="1">
      <c r="A65" s="34" t="s">
        <v>224</v>
      </c>
      <c r="B65" s="35" t="s">
        <v>35</v>
      </c>
      <c r="C65" s="35" t="s">
        <v>36</v>
      </c>
      <c r="D65" s="35" t="s">
        <v>268</v>
      </c>
      <c r="E65" s="35" t="s">
        <v>269</v>
      </c>
      <c r="F65" s="35" t="s">
        <v>38</v>
      </c>
      <c r="G65" s="33">
        <v>0</v>
      </c>
      <c r="H65" s="6">
        <v>7343280</v>
      </c>
      <c r="I65" s="6">
        <f t="shared" si="38"/>
        <v>7343280</v>
      </c>
      <c r="J65" s="33">
        <v>0</v>
      </c>
      <c r="K65" s="6">
        <v>7343280</v>
      </c>
      <c r="L65" s="6">
        <f t="shared" si="39"/>
        <v>7343280</v>
      </c>
    </row>
    <row r="66" spans="1:12" s="10" customFormat="1" ht="56.25">
      <c r="A66" s="17" t="s">
        <v>120</v>
      </c>
      <c r="B66" s="19" t="s">
        <v>46</v>
      </c>
      <c r="C66" s="19" t="s">
        <v>36</v>
      </c>
      <c r="D66" s="19" t="s">
        <v>105</v>
      </c>
      <c r="E66" s="19" t="s">
        <v>152</v>
      </c>
      <c r="F66" s="19"/>
      <c r="G66" s="22">
        <f>G67+G74+G81+G89+G94+G96</f>
        <v>54401858.699999996</v>
      </c>
      <c r="H66" s="22">
        <f t="shared" ref="H66:L66" si="41">H67+H74+H81+H89+H94+H96</f>
        <v>-4519970.53</v>
      </c>
      <c r="I66" s="22">
        <f t="shared" si="41"/>
        <v>49881888.169999994</v>
      </c>
      <c r="J66" s="22">
        <f t="shared" si="41"/>
        <v>54367533.559999995</v>
      </c>
      <c r="K66" s="22">
        <f t="shared" si="41"/>
        <v>-6191848.46</v>
      </c>
      <c r="L66" s="22">
        <f t="shared" si="41"/>
        <v>48175685.100000001</v>
      </c>
    </row>
    <row r="67" spans="1:12" s="9" customFormat="1" ht="47.25">
      <c r="A67" s="23" t="s">
        <v>121</v>
      </c>
      <c r="B67" s="27" t="s">
        <v>46</v>
      </c>
      <c r="C67" s="27" t="s">
        <v>36</v>
      </c>
      <c r="D67" s="27" t="s">
        <v>35</v>
      </c>
      <c r="E67" s="27" t="s">
        <v>152</v>
      </c>
      <c r="F67" s="27"/>
      <c r="G67" s="28">
        <f>SUM(G68:G73)</f>
        <v>10512527.129999999</v>
      </c>
      <c r="H67" s="28">
        <f t="shared" ref="H67:I67" si="42">SUM(H68:H73)</f>
        <v>0</v>
      </c>
      <c r="I67" s="28">
        <f t="shared" si="42"/>
        <v>10512527.129999999</v>
      </c>
      <c r="J67" s="28">
        <f>SUM(J68:J73)</f>
        <v>10512527.129999999</v>
      </c>
      <c r="K67" s="28">
        <f t="shared" ref="K67" si="43">SUM(K68:K73)</f>
        <v>0</v>
      </c>
      <c r="L67" s="28">
        <f t="shared" ref="L67" si="44">SUM(L68:L73)</f>
        <v>10512527.129999999</v>
      </c>
    </row>
    <row r="68" spans="1:12" ht="98.25" customHeight="1">
      <c r="A68" s="15" t="s">
        <v>160</v>
      </c>
      <c r="B68" s="3" t="s">
        <v>46</v>
      </c>
      <c r="C68" s="3" t="s">
        <v>36</v>
      </c>
      <c r="D68" s="3" t="s">
        <v>35</v>
      </c>
      <c r="E68" s="3" t="s">
        <v>69</v>
      </c>
      <c r="F68" s="3" t="s">
        <v>38</v>
      </c>
      <c r="G68" s="6">
        <v>9101715.9199999999</v>
      </c>
      <c r="H68" s="6">
        <v>0</v>
      </c>
      <c r="I68" s="6">
        <f t="shared" ref="I68:I73" si="45">G68+H68</f>
        <v>9101715.9199999999</v>
      </c>
      <c r="J68" s="6">
        <v>9101715.9199999999</v>
      </c>
      <c r="K68" s="6">
        <v>0</v>
      </c>
      <c r="L68" s="6">
        <f t="shared" ref="L68:L73" si="46">J68+K68</f>
        <v>9101715.9199999999</v>
      </c>
    </row>
    <row r="69" spans="1:12" ht="66" customHeight="1">
      <c r="A69" s="15" t="s">
        <v>210</v>
      </c>
      <c r="B69" s="3" t="s">
        <v>46</v>
      </c>
      <c r="C69" s="3" t="s">
        <v>36</v>
      </c>
      <c r="D69" s="3" t="s">
        <v>35</v>
      </c>
      <c r="E69" s="3" t="s">
        <v>69</v>
      </c>
      <c r="F69" s="3" t="s">
        <v>39</v>
      </c>
      <c r="G69" s="6">
        <f>895102.21+200000</f>
        <v>1095102.21</v>
      </c>
      <c r="H69" s="6">
        <v>0</v>
      </c>
      <c r="I69" s="6">
        <f t="shared" si="45"/>
        <v>1095102.21</v>
      </c>
      <c r="J69" s="6">
        <f>895102.21+200000</f>
        <v>1095102.21</v>
      </c>
      <c r="K69" s="6">
        <v>0</v>
      </c>
      <c r="L69" s="6">
        <f t="shared" si="46"/>
        <v>1095102.21</v>
      </c>
    </row>
    <row r="70" spans="1:12" ht="48" customHeight="1">
      <c r="A70" s="15" t="s">
        <v>22</v>
      </c>
      <c r="B70" s="3" t="s">
        <v>46</v>
      </c>
      <c r="C70" s="3" t="s">
        <v>36</v>
      </c>
      <c r="D70" s="3" t="s">
        <v>35</v>
      </c>
      <c r="E70" s="3" t="s">
        <v>69</v>
      </c>
      <c r="F70" s="3" t="s">
        <v>40</v>
      </c>
      <c r="G70" s="6">
        <v>50578</v>
      </c>
      <c r="H70" s="6">
        <v>0</v>
      </c>
      <c r="I70" s="6">
        <f t="shared" si="45"/>
        <v>50578</v>
      </c>
      <c r="J70" s="6">
        <v>50578</v>
      </c>
      <c r="K70" s="6">
        <v>0</v>
      </c>
      <c r="L70" s="6">
        <f t="shared" si="46"/>
        <v>50578</v>
      </c>
    </row>
    <row r="71" spans="1:12" ht="47.25" customHeight="1">
      <c r="A71" s="15" t="s">
        <v>186</v>
      </c>
      <c r="B71" s="3" t="s">
        <v>46</v>
      </c>
      <c r="C71" s="3" t="s">
        <v>36</v>
      </c>
      <c r="D71" s="3" t="s">
        <v>35</v>
      </c>
      <c r="E71" s="3" t="s">
        <v>42</v>
      </c>
      <c r="F71" s="3" t="s">
        <v>39</v>
      </c>
      <c r="G71" s="6">
        <v>113242</v>
      </c>
      <c r="H71" s="6">
        <v>0</v>
      </c>
      <c r="I71" s="6">
        <f t="shared" si="45"/>
        <v>113242</v>
      </c>
      <c r="J71" s="6">
        <v>113242</v>
      </c>
      <c r="K71" s="6">
        <v>0</v>
      </c>
      <c r="L71" s="6">
        <f t="shared" si="46"/>
        <v>113242</v>
      </c>
    </row>
    <row r="72" spans="1:12" ht="47.25" customHeight="1">
      <c r="A72" s="15" t="s">
        <v>182</v>
      </c>
      <c r="B72" s="3" t="s">
        <v>46</v>
      </c>
      <c r="C72" s="3" t="s">
        <v>36</v>
      </c>
      <c r="D72" s="3" t="s">
        <v>35</v>
      </c>
      <c r="E72" s="3" t="s">
        <v>43</v>
      </c>
      <c r="F72" s="3" t="s">
        <v>39</v>
      </c>
      <c r="G72" s="6">
        <v>86804</v>
      </c>
      <c r="H72" s="6">
        <v>0</v>
      </c>
      <c r="I72" s="6">
        <f t="shared" si="45"/>
        <v>86804</v>
      </c>
      <c r="J72" s="6">
        <v>86804</v>
      </c>
      <c r="K72" s="6">
        <v>0</v>
      </c>
      <c r="L72" s="6">
        <f t="shared" si="46"/>
        <v>86804</v>
      </c>
    </row>
    <row r="73" spans="1:12" ht="63">
      <c r="A73" s="15" t="s">
        <v>183</v>
      </c>
      <c r="B73" s="3" t="s">
        <v>46</v>
      </c>
      <c r="C73" s="3" t="s">
        <v>36</v>
      </c>
      <c r="D73" s="3" t="s">
        <v>35</v>
      </c>
      <c r="E73" s="3" t="s">
        <v>44</v>
      </c>
      <c r="F73" s="3" t="s">
        <v>39</v>
      </c>
      <c r="G73" s="6">
        <v>65085</v>
      </c>
      <c r="H73" s="6">
        <v>0</v>
      </c>
      <c r="I73" s="6">
        <f t="shared" si="45"/>
        <v>65085</v>
      </c>
      <c r="J73" s="6">
        <v>65085</v>
      </c>
      <c r="K73" s="6">
        <v>0</v>
      </c>
      <c r="L73" s="6">
        <f t="shared" si="46"/>
        <v>65085</v>
      </c>
    </row>
    <row r="74" spans="1:12" s="9" customFormat="1" ht="32.25" customHeight="1">
      <c r="A74" s="23" t="s">
        <v>122</v>
      </c>
      <c r="B74" s="27" t="s">
        <v>46</v>
      </c>
      <c r="C74" s="27" t="s">
        <v>36</v>
      </c>
      <c r="D74" s="27" t="s">
        <v>46</v>
      </c>
      <c r="E74" s="27" t="s">
        <v>152</v>
      </c>
      <c r="F74" s="27"/>
      <c r="G74" s="28">
        <f>SUM(G75:G80)</f>
        <v>26228883.300000001</v>
      </c>
      <c r="H74" s="28">
        <f t="shared" ref="H74:I74" si="47">SUM(H75:H80)</f>
        <v>-4521431.37</v>
      </c>
      <c r="I74" s="28">
        <f t="shared" si="47"/>
        <v>21707451.93</v>
      </c>
      <c r="J74" s="28">
        <f>SUM(J75:J80)</f>
        <v>26228883.300000001</v>
      </c>
      <c r="K74" s="28">
        <f t="shared" ref="K74" si="48">SUM(K75:K80)</f>
        <v>-6228770.8399999999</v>
      </c>
      <c r="L74" s="28">
        <f t="shared" ref="L74" si="49">SUM(L75:L80)</f>
        <v>20000112.460000001</v>
      </c>
    </row>
    <row r="75" spans="1:12" s="36" customFormat="1" ht="67.5" customHeight="1">
      <c r="A75" s="15" t="s">
        <v>234</v>
      </c>
      <c r="B75" s="3" t="s">
        <v>46</v>
      </c>
      <c r="C75" s="3" t="s">
        <v>36</v>
      </c>
      <c r="D75" s="3" t="s">
        <v>46</v>
      </c>
      <c r="E75" s="3" t="s">
        <v>233</v>
      </c>
      <c r="F75" s="3" t="s">
        <v>71</v>
      </c>
      <c r="G75" s="33">
        <v>4843094</v>
      </c>
      <c r="H75" s="6">
        <v>0</v>
      </c>
      <c r="I75" s="6">
        <f t="shared" ref="I75:I78" si="50">G75+H75</f>
        <v>4843094</v>
      </c>
      <c r="J75" s="33">
        <v>4843094</v>
      </c>
      <c r="K75" s="6">
        <v>0</v>
      </c>
      <c r="L75" s="6">
        <f t="shared" ref="L75:L80" si="51">J75+K75</f>
        <v>4843094</v>
      </c>
    </row>
    <row r="76" spans="1:12" s="36" customFormat="1" ht="112.5" customHeight="1">
      <c r="A76" s="15" t="s">
        <v>11</v>
      </c>
      <c r="B76" s="3" t="s">
        <v>46</v>
      </c>
      <c r="C76" s="3" t="s">
        <v>36</v>
      </c>
      <c r="D76" s="3" t="s">
        <v>46</v>
      </c>
      <c r="E76" s="3" t="s">
        <v>70</v>
      </c>
      <c r="F76" s="3" t="s">
        <v>71</v>
      </c>
      <c r="G76" s="33">
        <v>13638587.300000001</v>
      </c>
      <c r="H76" s="6">
        <v>0</v>
      </c>
      <c r="I76" s="6">
        <f t="shared" si="50"/>
        <v>13638587.300000001</v>
      </c>
      <c r="J76" s="33">
        <v>13638587.300000001</v>
      </c>
      <c r="K76" s="6">
        <v>0</v>
      </c>
      <c r="L76" s="6">
        <f t="shared" si="51"/>
        <v>13638587.300000001</v>
      </c>
    </row>
    <row r="77" spans="1:12" ht="110.25" customHeight="1">
      <c r="A77" s="15" t="s">
        <v>12</v>
      </c>
      <c r="B77" s="3" t="s">
        <v>46</v>
      </c>
      <c r="C77" s="3" t="s">
        <v>36</v>
      </c>
      <c r="D77" s="3" t="s">
        <v>46</v>
      </c>
      <c r="E77" s="3" t="s">
        <v>72</v>
      </c>
      <c r="F77" s="3" t="s">
        <v>71</v>
      </c>
      <c r="G77" s="6">
        <v>1236000</v>
      </c>
      <c r="H77" s="6">
        <v>-910229.37</v>
      </c>
      <c r="I77" s="6">
        <f t="shared" si="50"/>
        <v>325770.63</v>
      </c>
      <c r="J77" s="6">
        <v>1236000</v>
      </c>
      <c r="K77" s="6">
        <v>-1217568.8400000001</v>
      </c>
      <c r="L77" s="6">
        <f t="shared" si="51"/>
        <v>18431.159999999916</v>
      </c>
    </row>
    <row r="78" spans="1:12" ht="113.25" customHeight="1">
      <c r="A78" s="15" t="s">
        <v>13</v>
      </c>
      <c r="B78" s="3" t="s">
        <v>46</v>
      </c>
      <c r="C78" s="3" t="s">
        <v>36</v>
      </c>
      <c r="D78" s="3" t="s">
        <v>46</v>
      </c>
      <c r="E78" s="3" t="s">
        <v>73</v>
      </c>
      <c r="F78" s="3" t="s">
        <v>71</v>
      </c>
      <c r="G78" s="6">
        <v>2450000</v>
      </c>
      <c r="H78" s="6">
        <v>-450000</v>
      </c>
      <c r="I78" s="6">
        <f t="shared" si="50"/>
        <v>2000000</v>
      </c>
      <c r="J78" s="6">
        <v>2450000</v>
      </c>
      <c r="K78" s="6">
        <v>-950000</v>
      </c>
      <c r="L78" s="6">
        <f t="shared" si="51"/>
        <v>1500000</v>
      </c>
    </row>
    <row r="79" spans="1:12" ht="109.5" customHeight="1">
      <c r="A79" s="15" t="s">
        <v>15</v>
      </c>
      <c r="B79" s="3" t="s">
        <v>46</v>
      </c>
      <c r="C79" s="3" t="s">
        <v>36</v>
      </c>
      <c r="D79" s="3" t="s">
        <v>46</v>
      </c>
      <c r="E79" s="3" t="s">
        <v>74</v>
      </c>
      <c r="F79" s="3" t="s">
        <v>71</v>
      </c>
      <c r="G79" s="6">
        <v>1555786</v>
      </c>
      <c r="H79" s="6">
        <v>-1555786</v>
      </c>
      <c r="I79" s="6">
        <f t="shared" ref="I79:I80" si="52">G79+H79</f>
        <v>0</v>
      </c>
      <c r="J79" s="6">
        <v>1555786</v>
      </c>
      <c r="K79" s="6">
        <v>-1555786</v>
      </c>
      <c r="L79" s="6">
        <f t="shared" si="51"/>
        <v>0</v>
      </c>
    </row>
    <row r="80" spans="1:12" ht="110.25" customHeight="1">
      <c r="A80" s="15" t="s">
        <v>16</v>
      </c>
      <c r="B80" s="3" t="s">
        <v>46</v>
      </c>
      <c r="C80" s="3" t="s">
        <v>36</v>
      </c>
      <c r="D80" s="3" t="s">
        <v>46</v>
      </c>
      <c r="E80" s="3" t="s">
        <v>75</v>
      </c>
      <c r="F80" s="3" t="s">
        <v>71</v>
      </c>
      <c r="G80" s="6">
        <v>2505416</v>
      </c>
      <c r="H80" s="6">
        <v>-1605416</v>
      </c>
      <c r="I80" s="6">
        <f t="shared" si="52"/>
        <v>900000</v>
      </c>
      <c r="J80" s="6">
        <v>2505416</v>
      </c>
      <c r="K80" s="6">
        <v>-2505416</v>
      </c>
      <c r="L80" s="6">
        <f t="shared" si="51"/>
        <v>0</v>
      </c>
    </row>
    <row r="81" spans="1:12" s="9" customFormat="1" ht="31.5">
      <c r="A81" s="23" t="s">
        <v>123</v>
      </c>
      <c r="B81" s="27" t="s">
        <v>46</v>
      </c>
      <c r="C81" s="27" t="s">
        <v>36</v>
      </c>
      <c r="D81" s="27" t="s">
        <v>49</v>
      </c>
      <c r="E81" s="27" t="s">
        <v>152</v>
      </c>
      <c r="F81" s="27"/>
      <c r="G81" s="28">
        <f>SUM(G82:G88)</f>
        <v>10910450.09</v>
      </c>
      <c r="H81" s="28">
        <f t="shared" ref="H81:I81" si="53">SUM(H82:H88)</f>
        <v>1460.84</v>
      </c>
      <c r="I81" s="28">
        <f t="shared" si="53"/>
        <v>10911910.93</v>
      </c>
      <c r="J81" s="28">
        <f>SUM(J82:J88)</f>
        <v>10876124.949999999</v>
      </c>
      <c r="K81" s="28">
        <f t="shared" ref="K81" si="54">SUM(K82:K88)</f>
        <v>36922.380000000005</v>
      </c>
      <c r="L81" s="28">
        <f t="shared" ref="L81" si="55">SUM(L82:L88)</f>
        <v>10913047.33</v>
      </c>
    </row>
    <row r="82" spans="1:12" ht="46.5" customHeight="1">
      <c r="A82" s="15" t="s">
        <v>186</v>
      </c>
      <c r="B82" s="3" t="s">
        <v>46</v>
      </c>
      <c r="C82" s="3" t="s">
        <v>36</v>
      </c>
      <c r="D82" s="3" t="s">
        <v>49</v>
      </c>
      <c r="E82" s="3" t="s">
        <v>42</v>
      </c>
      <c r="F82" s="3" t="s">
        <v>39</v>
      </c>
      <c r="G82" s="6">
        <v>77600</v>
      </c>
      <c r="H82" s="6">
        <v>0</v>
      </c>
      <c r="I82" s="6">
        <f t="shared" ref="I82:I85" si="56">G82+H82</f>
        <v>77600</v>
      </c>
      <c r="J82" s="6">
        <v>77600</v>
      </c>
      <c r="K82" s="6">
        <v>0</v>
      </c>
      <c r="L82" s="6">
        <f t="shared" ref="L82:L88" si="57">J82+K82</f>
        <v>77600</v>
      </c>
    </row>
    <row r="83" spans="1:12" ht="96.75" customHeight="1">
      <c r="A83" s="15" t="s">
        <v>161</v>
      </c>
      <c r="B83" s="3" t="s">
        <v>46</v>
      </c>
      <c r="C83" s="3" t="s">
        <v>36</v>
      </c>
      <c r="D83" s="3" t="s">
        <v>49</v>
      </c>
      <c r="E83" s="3" t="s">
        <v>76</v>
      </c>
      <c r="F83" s="3" t="s">
        <v>38</v>
      </c>
      <c r="G83" s="6">
        <v>4064990.76</v>
      </c>
      <c r="H83" s="6">
        <v>0</v>
      </c>
      <c r="I83" s="6">
        <f t="shared" si="56"/>
        <v>4064990.76</v>
      </c>
      <c r="J83" s="6">
        <v>4064990.76</v>
      </c>
      <c r="K83" s="6">
        <v>0</v>
      </c>
      <c r="L83" s="6">
        <f t="shared" si="57"/>
        <v>4064990.76</v>
      </c>
    </row>
    <row r="84" spans="1:12" ht="63.75" customHeight="1">
      <c r="A84" s="15" t="s">
        <v>211</v>
      </c>
      <c r="B84" s="3" t="s">
        <v>46</v>
      </c>
      <c r="C84" s="3" t="s">
        <v>36</v>
      </c>
      <c r="D84" s="3" t="s">
        <v>49</v>
      </c>
      <c r="E84" s="3" t="s">
        <v>76</v>
      </c>
      <c r="F84" s="3" t="s">
        <v>39</v>
      </c>
      <c r="G84" s="6">
        <f>668251+9000</f>
        <v>677251</v>
      </c>
      <c r="H84" s="6">
        <v>0</v>
      </c>
      <c r="I84" s="6">
        <f t="shared" si="56"/>
        <v>677251</v>
      </c>
      <c r="J84" s="6">
        <f>668251+9000</f>
        <v>677251</v>
      </c>
      <c r="K84" s="6">
        <v>0</v>
      </c>
      <c r="L84" s="6">
        <f t="shared" si="57"/>
        <v>677251</v>
      </c>
    </row>
    <row r="85" spans="1:12" ht="157.5">
      <c r="A85" s="15" t="s">
        <v>162</v>
      </c>
      <c r="B85" s="3" t="s">
        <v>46</v>
      </c>
      <c r="C85" s="3" t="s">
        <v>36</v>
      </c>
      <c r="D85" s="3" t="s">
        <v>49</v>
      </c>
      <c r="E85" s="3" t="s">
        <v>77</v>
      </c>
      <c r="F85" s="3" t="s">
        <v>38</v>
      </c>
      <c r="G85" s="6">
        <v>4770300.67</v>
      </c>
      <c r="H85" s="6">
        <v>0</v>
      </c>
      <c r="I85" s="6">
        <f t="shared" si="56"/>
        <v>4770300.67</v>
      </c>
      <c r="J85" s="6">
        <v>4770300.67</v>
      </c>
      <c r="K85" s="6">
        <v>0</v>
      </c>
      <c r="L85" s="6">
        <f t="shared" si="57"/>
        <v>4770300.67</v>
      </c>
    </row>
    <row r="86" spans="1:12" ht="112.5" customHeight="1">
      <c r="A86" s="15" t="s">
        <v>212</v>
      </c>
      <c r="B86" s="3" t="s">
        <v>46</v>
      </c>
      <c r="C86" s="3" t="s">
        <v>36</v>
      </c>
      <c r="D86" s="3" t="s">
        <v>49</v>
      </c>
      <c r="E86" s="3" t="s">
        <v>77</v>
      </c>
      <c r="F86" s="3" t="s">
        <v>39</v>
      </c>
      <c r="G86" s="6">
        <v>1281533.52</v>
      </c>
      <c r="H86" s="6">
        <v>0</v>
      </c>
      <c r="I86" s="6">
        <f t="shared" ref="I86:I88" si="58">G86+H86</f>
        <v>1281533.52</v>
      </c>
      <c r="J86" s="6">
        <v>1281533.52</v>
      </c>
      <c r="K86" s="6">
        <v>0</v>
      </c>
      <c r="L86" s="6">
        <f t="shared" si="57"/>
        <v>1281533.52</v>
      </c>
    </row>
    <row r="87" spans="1:12" ht="96" customHeight="1">
      <c r="A87" s="15" t="s">
        <v>153</v>
      </c>
      <c r="B87" s="3" t="s">
        <v>46</v>
      </c>
      <c r="C87" s="3" t="s">
        <v>36</v>
      </c>
      <c r="D87" s="3" t="s">
        <v>49</v>
      </c>
      <c r="E87" s="3" t="s">
        <v>77</v>
      </c>
      <c r="F87" s="3" t="s">
        <v>40</v>
      </c>
      <c r="G87" s="33">
        <v>4449</v>
      </c>
      <c r="H87" s="6">
        <v>0</v>
      </c>
      <c r="I87" s="6">
        <f t="shared" si="58"/>
        <v>4449</v>
      </c>
      <c r="J87" s="33">
        <v>4449</v>
      </c>
      <c r="K87" s="6">
        <v>0</v>
      </c>
      <c r="L87" s="6">
        <f t="shared" si="57"/>
        <v>4449</v>
      </c>
    </row>
    <row r="88" spans="1:12" ht="78" customHeight="1">
      <c r="A88" s="15" t="s">
        <v>137</v>
      </c>
      <c r="B88" s="3" t="s">
        <v>46</v>
      </c>
      <c r="C88" s="3" t="s">
        <v>36</v>
      </c>
      <c r="D88" s="3" t="s">
        <v>49</v>
      </c>
      <c r="E88" s="3" t="s">
        <v>136</v>
      </c>
      <c r="F88" s="3" t="s">
        <v>39</v>
      </c>
      <c r="G88" s="33">
        <v>34325.14</v>
      </c>
      <c r="H88" s="6">
        <f>-328.46+1789.3</f>
        <v>1460.84</v>
      </c>
      <c r="I88" s="6">
        <f t="shared" si="58"/>
        <v>35785.979999999996</v>
      </c>
      <c r="J88" s="33">
        <v>0</v>
      </c>
      <c r="K88" s="6">
        <f>35076.26+1846.12</f>
        <v>36922.380000000005</v>
      </c>
      <c r="L88" s="6">
        <f t="shared" si="57"/>
        <v>36922.380000000005</v>
      </c>
    </row>
    <row r="89" spans="1:12" s="9" customFormat="1" ht="15.75">
      <c r="A89" s="29" t="s">
        <v>124</v>
      </c>
      <c r="B89" s="27" t="s">
        <v>46</v>
      </c>
      <c r="C89" s="27" t="s">
        <v>36</v>
      </c>
      <c r="D89" s="27" t="s">
        <v>52</v>
      </c>
      <c r="E89" s="27" t="s">
        <v>152</v>
      </c>
      <c r="F89" s="27"/>
      <c r="G89" s="28">
        <f>SUM(G90:G93)</f>
        <v>3536849.69</v>
      </c>
      <c r="H89" s="28">
        <f t="shared" ref="H89:I89" si="59">SUM(H90:H93)</f>
        <v>0</v>
      </c>
      <c r="I89" s="28">
        <f t="shared" si="59"/>
        <v>3536849.69</v>
      </c>
      <c r="J89" s="28">
        <f>SUM(J90:J93)</f>
        <v>3536849.69</v>
      </c>
      <c r="K89" s="28">
        <f t="shared" ref="K89" si="60">SUM(K90:K93)</f>
        <v>0</v>
      </c>
      <c r="L89" s="28">
        <f t="shared" ref="L89" si="61">SUM(L90:L93)</f>
        <v>3536849.69</v>
      </c>
    </row>
    <row r="90" spans="1:12" ht="79.5" customHeight="1">
      <c r="A90" s="15" t="s">
        <v>163</v>
      </c>
      <c r="B90" s="3" t="s">
        <v>46</v>
      </c>
      <c r="C90" s="3" t="s">
        <v>36</v>
      </c>
      <c r="D90" s="3" t="s">
        <v>52</v>
      </c>
      <c r="E90" s="3" t="s">
        <v>78</v>
      </c>
      <c r="F90" s="3" t="s">
        <v>38</v>
      </c>
      <c r="G90" s="6">
        <v>2930059.04</v>
      </c>
      <c r="H90" s="6">
        <v>0</v>
      </c>
      <c r="I90" s="6">
        <f t="shared" ref="I90:I93" si="62">G90+H90</f>
        <v>2930059.04</v>
      </c>
      <c r="J90" s="6">
        <v>2930059.04</v>
      </c>
      <c r="K90" s="6">
        <v>0</v>
      </c>
      <c r="L90" s="6">
        <f t="shared" ref="L90:L93" si="63">J90+K90</f>
        <v>2930059.04</v>
      </c>
    </row>
    <row r="91" spans="1:12" ht="47.25" customHeight="1">
      <c r="A91" s="15" t="s">
        <v>213</v>
      </c>
      <c r="B91" s="3" t="s">
        <v>46</v>
      </c>
      <c r="C91" s="3" t="s">
        <v>36</v>
      </c>
      <c r="D91" s="3" t="s">
        <v>52</v>
      </c>
      <c r="E91" s="3" t="s">
        <v>78</v>
      </c>
      <c r="F91" s="3" t="s">
        <v>39</v>
      </c>
      <c r="G91" s="6">
        <f>477978.65+50000</f>
        <v>527978.65</v>
      </c>
      <c r="H91" s="6">
        <v>0</v>
      </c>
      <c r="I91" s="6">
        <f t="shared" si="62"/>
        <v>527978.65</v>
      </c>
      <c r="J91" s="6">
        <f>477978.65+50000</f>
        <v>527978.65</v>
      </c>
      <c r="K91" s="6">
        <v>0</v>
      </c>
      <c r="L91" s="6">
        <f t="shared" si="63"/>
        <v>527978.65</v>
      </c>
    </row>
    <row r="92" spans="1:12" ht="32.25" customHeight="1">
      <c r="A92" s="15" t="s">
        <v>23</v>
      </c>
      <c r="B92" s="3" t="s">
        <v>46</v>
      </c>
      <c r="C92" s="3" t="s">
        <v>36</v>
      </c>
      <c r="D92" s="3" t="s">
        <v>52</v>
      </c>
      <c r="E92" s="3" t="s">
        <v>78</v>
      </c>
      <c r="F92" s="3" t="s">
        <v>40</v>
      </c>
      <c r="G92" s="6">
        <v>15504</v>
      </c>
      <c r="H92" s="6">
        <v>0</v>
      </c>
      <c r="I92" s="6">
        <f t="shared" si="62"/>
        <v>15504</v>
      </c>
      <c r="J92" s="6">
        <v>15504</v>
      </c>
      <c r="K92" s="6">
        <v>0</v>
      </c>
      <c r="L92" s="6">
        <f t="shared" si="63"/>
        <v>15504</v>
      </c>
    </row>
    <row r="93" spans="1:12" ht="48.75" customHeight="1">
      <c r="A93" s="15" t="s">
        <v>186</v>
      </c>
      <c r="B93" s="3" t="s">
        <v>46</v>
      </c>
      <c r="C93" s="3" t="s">
        <v>36</v>
      </c>
      <c r="D93" s="3" t="s">
        <v>52</v>
      </c>
      <c r="E93" s="3" t="s">
        <v>42</v>
      </c>
      <c r="F93" s="3" t="s">
        <v>39</v>
      </c>
      <c r="G93" s="6">
        <v>63308</v>
      </c>
      <c r="H93" s="6">
        <v>0</v>
      </c>
      <c r="I93" s="6">
        <f t="shared" si="62"/>
        <v>63308</v>
      </c>
      <c r="J93" s="6">
        <v>63308</v>
      </c>
      <c r="K93" s="6">
        <v>0</v>
      </c>
      <c r="L93" s="6">
        <f t="shared" si="63"/>
        <v>63308</v>
      </c>
    </row>
    <row r="94" spans="1:12" s="9" customFormat="1" ht="22.5" customHeight="1">
      <c r="A94" s="23" t="s">
        <v>125</v>
      </c>
      <c r="B94" s="27" t="s">
        <v>46</v>
      </c>
      <c r="C94" s="27" t="s">
        <v>36</v>
      </c>
      <c r="D94" s="27" t="s">
        <v>54</v>
      </c>
      <c r="E94" s="27" t="s">
        <v>152</v>
      </c>
      <c r="F94" s="27"/>
      <c r="G94" s="28">
        <f>SUM(G95:G95)</f>
        <v>176942</v>
      </c>
      <c r="H94" s="28">
        <f t="shared" ref="H94:I94" si="64">SUM(H95:H95)</f>
        <v>0</v>
      </c>
      <c r="I94" s="28">
        <f t="shared" si="64"/>
        <v>176942</v>
      </c>
      <c r="J94" s="28">
        <f>SUM(J95:J95)</f>
        <v>176942</v>
      </c>
      <c r="K94" s="28">
        <f t="shared" ref="K94" si="65">SUM(K95:K95)</f>
        <v>0</v>
      </c>
      <c r="L94" s="28">
        <f t="shared" ref="L94" si="66">SUM(L95:L95)</f>
        <v>176942</v>
      </c>
    </row>
    <row r="95" spans="1:12" ht="97.5" customHeight="1">
      <c r="A95" s="15" t="s">
        <v>214</v>
      </c>
      <c r="B95" s="3" t="s">
        <v>46</v>
      </c>
      <c r="C95" s="3" t="s">
        <v>36</v>
      </c>
      <c r="D95" s="3" t="s">
        <v>54</v>
      </c>
      <c r="E95" s="3" t="s">
        <v>79</v>
      </c>
      <c r="F95" s="3" t="s">
        <v>39</v>
      </c>
      <c r="G95" s="6">
        <v>176942</v>
      </c>
      <c r="H95" s="6">
        <v>0</v>
      </c>
      <c r="I95" s="6">
        <f t="shared" ref="I95" si="67">G95+H95</f>
        <v>176942</v>
      </c>
      <c r="J95" s="6">
        <v>176942</v>
      </c>
      <c r="K95" s="6">
        <v>0</v>
      </c>
      <c r="L95" s="6">
        <f t="shared" ref="L95" si="68">J95+K95</f>
        <v>176942</v>
      </c>
    </row>
    <row r="96" spans="1:12" s="9" customFormat="1" ht="51" customHeight="1">
      <c r="A96" s="23" t="s">
        <v>126</v>
      </c>
      <c r="B96" s="27" t="s">
        <v>46</v>
      </c>
      <c r="C96" s="27" t="s">
        <v>36</v>
      </c>
      <c r="D96" s="27" t="s">
        <v>34</v>
      </c>
      <c r="E96" s="27" t="s">
        <v>152</v>
      </c>
      <c r="F96" s="27"/>
      <c r="G96" s="28">
        <f>SUM(G97:G98)</f>
        <v>3036206.49</v>
      </c>
      <c r="H96" s="28">
        <f t="shared" ref="H96:I96" si="69">SUM(H97:H98)</f>
        <v>0</v>
      </c>
      <c r="I96" s="28">
        <f t="shared" si="69"/>
        <v>3036206.49</v>
      </c>
      <c r="J96" s="28">
        <f>SUM(J97:J98)</f>
        <v>3036206.49</v>
      </c>
      <c r="K96" s="28">
        <f t="shared" ref="K96" si="70">SUM(K97:K98)</f>
        <v>0</v>
      </c>
      <c r="L96" s="28">
        <f t="shared" ref="L96" si="71">SUM(L97:L98)</f>
        <v>3036206.49</v>
      </c>
    </row>
    <row r="97" spans="1:12" s="44" customFormat="1" ht="68.25" customHeight="1">
      <c r="A97" s="34" t="s">
        <v>234</v>
      </c>
      <c r="B97" s="35" t="s">
        <v>46</v>
      </c>
      <c r="C97" s="35" t="s">
        <v>36</v>
      </c>
      <c r="D97" s="35" t="s">
        <v>34</v>
      </c>
      <c r="E97" s="35" t="s">
        <v>233</v>
      </c>
      <c r="F97" s="35" t="s">
        <v>71</v>
      </c>
      <c r="G97" s="33">
        <v>264817.43</v>
      </c>
      <c r="H97" s="6">
        <v>0</v>
      </c>
      <c r="I97" s="6">
        <f t="shared" ref="I97:I98" si="72">G97+H97</f>
        <v>264817.43</v>
      </c>
      <c r="J97" s="33">
        <v>264817.43</v>
      </c>
      <c r="K97" s="6">
        <v>0</v>
      </c>
      <c r="L97" s="6">
        <f t="shared" ref="L97:L98" si="73">J97+K97</f>
        <v>264817.43</v>
      </c>
    </row>
    <row r="98" spans="1:12" ht="110.25">
      <c r="A98" s="15" t="s">
        <v>17</v>
      </c>
      <c r="B98" s="3" t="s">
        <v>46</v>
      </c>
      <c r="C98" s="3" t="s">
        <v>36</v>
      </c>
      <c r="D98" s="3" t="s">
        <v>34</v>
      </c>
      <c r="E98" s="3" t="s">
        <v>80</v>
      </c>
      <c r="F98" s="3" t="s">
        <v>71</v>
      </c>
      <c r="G98" s="6">
        <v>2771389.06</v>
      </c>
      <c r="H98" s="6">
        <v>0</v>
      </c>
      <c r="I98" s="6">
        <f t="shared" si="72"/>
        <v>2771389.06</v>
      </c>
      <c r="J98" s="6">
        <v>2771389.06</v>
      </c>
      <c r="K98" s="6">
        <v>0</v>
      </c>
      <c r="L98" s="6">
        <f t="shared" si="73"/>
        <v>2771389.06</v>
      </c>
    </row>
    <row r="99" spans="1:12" s="11" customFormat="1" ht="75">
      <c r="A99" s="17" t="s">
        <v>189</v>
      </c>
      <c r="B99" s="19" t="s">
        <v>52</v>
      </c>
      <c r="C99" s="19" t="s">
        <v>36</v>
      </c>
      <c r="D99" s="19" t="s">
        <v>105</v>
      </c>
      <c r="E99" s="19" t="s">
        <v>152</v>
      </c>
      <c r="F99" s="19"/>
      <c r="G99" s="22">
        <f t="shared" ref="G99:L99" si="74">G100+G102</f>
        <v>7306037.9399999995</v>
      </c>
      <c r="H99" s="22">
        <f t="shared" si="74"/>
        <v>0</v>
      </c>
      <c r="I99" s="22">
        <f t="shared" si="74"/>
        <v>7306037.9399999995</v>
      </c>
      <c r="J99" s="22">
        <f t="shared" si="74"/>
        <v>7188321.9399999995</v>
      </c>
      <c r="K99" s="22">
        <f t="shared" si="74"/>
        <v>0</v>
      </c>
      <c r="L99" s="22">
        <f t="shared" si="74"/>
        <v>7188321.9399999995</v>
      </c>
    </row>
    <row r="100" spans="1:12" s="9" customFormat="1" ht="47.25">
      <c r="A100" s="23" t="s">
        <v>127</v>
      </c>
      <c r="B100" s="27" t="s">
        <v>52</v>
      </c>
      <c r="C100" s="27" t="s">
        <v>36</v>
      </c>
      <c r="D100" s="27" t="s">
        <v>35</v>
      </c>
      <c r="E100" s="27" t="s">
        <v>152</v>
      </c>
      <c r="F100" s="27"/>
      <c r="G100" s="28">
        <f t="shared" ref="G100:L100" si="75">SUM(G101:G101)</f>
        <v>6822217.5199999996</v>
      </c>
      <c r="H100" s="28">
        <f t="shared" si="75"/>
        <v>0</v>
      </c>
      <c r="I100" s="28">
        <f t="shared" si="75"/>
        <v>6822217.5199999996</v>
      </c>
      <c r="J100" s="28">
        <f t="shared" si="75"/>
        <v>6704501.5199999996</v>
      </c>
      <c r="K100" s="28">
        <f t="shared" si="75"/>
        <v>0</v>
      </c>
      <c r="L100" s="28">
        <f t="shared" si="75"/>
        <v>6704501.5199999996</v>
      </c>
    </row>
    <row r="101" spans="1:12" ht="63.75" customHeight="1">
      <c r="A101" s="34" t="s">
        <v>201</v>
      </c>
      <c r="B101" s="3" t="s">
        <v>52</v>
      </c>
      <c r="C101" s="3" t="s">
        <v>36</v>
      </c>
      <c r="D101" s="3" t="s">
        <v>35</v>
      </c>
      <c r="E101" s="3" t="s">
        <v>82</v>
      </c>
      <c r="F101" s="3" t="s">
        <v>71</v>
      </c>
      <c r="G101" s="6">
        <f>8859921.92-2037704.4</f>
        <v>6822217.5199999996</v>
      </c>
      <c r="H101" s="6">
        <v>0</v>
      </c>
      <c r="I101" s="6">
        <f t="shared" ref="I101" si="76">G101+H101</f>
        <v>6822217.5199999996</v>
      </c>
      <c r="J101" s="6">
        <f>8742205.92-2037704.4</f>
        <v>6704501.5199999996</v>
      </c>
      <c r="K101" s="6">
        <v>0</v>
      </c>
      <c r="L101" s="6">
        <f t="shared" ref="L101" si="77">J101+K101</f>
        <v>6704501.5199999996</v>
      </c>
    </row>
    <row r="102" spans="1:12" s="9" customFormat="1" ht="47.25">
      <c r="A102" s="23" t="s">
        <v>128</v>
      </c>
      <c r="B102" s="27" t="s">
        <v>52</v>
      </c>
      <c r="C102" s="27" t="s">
        <v>36</v>
      </c>
      <c r="D102" s="27" t="s">
        <v>46</v>
      </c>
      <c r="E102" s="27" t="s">
        <v>152</v>
      </c>
      <c r="F102" s="27"/>
      <c r="G102" s="28">
        <f>SUM(G103:G103)</f>
        <v>483820.42</v>
      </c>
      <c r="H102" s="28">
        <f t="shared" ref="H102:I102" si="78">SUM(H103:H103)</f>
        <v>0</v>
      </c>
      <c r="I102" s="28">
        <f t="shared" si="78"/>
        <v>483820.42</v>
      </c>
      <c r="J102" s="28">
        <f>SUM(J103:J103)</f>
        <v>483820.42</v>
      </c>
      <c r="K102" s="28">
        <f t="shared" ref="K102" si="79">SUM(K103:K103)</f>
        <v>0</v>
      </c>
      <c r="L102" s="28">
        <f t="shared" ref="L102" si="80">SUM(L103:L103)</f>
        <v>483820.42</v>
      </c>
    </row>
    <row r="103" spans="1:12" ht="94.5">
      <c r="A103" s="15" t="s">
        <v>167</v>
      </c>
      <c r="B103" s="3" t="s">
        <v>52</v>
      </c>
      <c r="C103" s="3" t="s">
        <v>36</v>
      </c>
      <c r="D103" s="3" t="s">
        <v>46</v>
      </c>
      <c r="E103" s="3" t="s">
        <v>84</v>
      </c>
      <c r="F103" s="3" t="s">
        <v>71</v>
      </c>
      <c r="G103" s="6">
        <v>483820.42</v>
      </c>
      <c r="H103" s="6">
        <v>0</v>
      </c>
      <c r="I103" s="6">
        <f t="shared" ref="I103" si="81">G103+H103</f>
        <v>483820.42</v>
      </c>
      <c r="J103" s="6">
        <v>483820.42</v>
      </c>
      <c r="K103" s="6">
        <v>0</v>
      </c>
      <c r="L103" s="6">
        <f t="shared" ref="L103" si="82">J103+K103</f>
        <v>483820.42</v>
      </c>
    </row>
    <row r="104" spans="1:12" s="10" customFormat="1" ht="75">
      <c r="A104" s="17" t="s">
        <v>129</v>
      </c>
      <c r="B104" s="19" t="s">
        <v>67</v>
      </c>
      <c r="C104" s="19" t="s">
        <v>36</v>
      </c>
      <c r="D104" s="19" t="s">
        <v>105</v>
      </c>
      <c r="E104" s="19" t="s">
        <v>152</v>
      </c>
      <c r="F104" s="19"/>
      <c r="G104" s="22">
        <f t="shared" ref="G104:L104" si="83">G105+G113+G116+G120+G123</f>
        <v>56906971.559999995</v>
      </c>
      <c r="H104" s="22">
        <f t="shared" si="83"/>
        <v>0</v>
      </c>
      <c r="I104" s="22">
        <f t="shared" si="83"/>
        <v>56906971.559999995</v>
      </c>
      <c r="J104" s="22">
        <f t="shared" si="83"/>
        <v>50297934.369999997</v>
      </c>
      <c r="K104" s="22">
        <f t="shared" si="83"/>
        <v>0</v>
      </c>
      <c r="L104" s="22">
        <f t="shared" si="83"/>
        <v>50297934.369999997</v>
      </c>
    </row>
    <row r="105" spans="1:12" s="9" customFormat="1" ht="47.25">
      <c r="A105" s="23" t="s">
        <v>130</v>
      </c>
      <c r="B105" s="27" t="s">
        <v>67</v>
      </c>
      <c r="C105" s="27" t="s">
        <v>36</v>
      </c>
      <c r="D105" s="27" t="s">
        <v>35</v>
      </c>
      <c r="E105" s="27" t="s">
        <v>152</v>
      </c>
      <c r="F105" s="27"/>
      <c r="G105" s="28">
        <f>SUM(G106:G112)</f>
        <v>54258773.369999997</v>
      </c>
      <c r="H105" s="28">
        <f t="shared" ref="H105:I105" si="84">SUM(H106:H112)</f>
        <v>0</v>
      </c>
      <c r="I105" s="28">
        <f t="shared" si="84"/>
        <v>54258773.369999997</v>
      </c>
      <c r="J105" s="28">
        <f>SUM(J106:J112)</f>
        <v>49458773.369999997</v>
      </c>
      <c r="K105" s="28">
        <f t="shared" ref="K105" si="85">SUM(K106:K112)</f>
        <v>0</v>
      </c>
      <c r="L105" s="28">
        <f t="shared" ref="L105" si="86">SUM(L106:L112)</f>
        <v>49458773.369999997</v>
      </c>
    </row>
    <row r="106" spans="1:12" ht="81.75" customHeight="1">
      <c r="A106" s="15" t="s">
        <v>164</v>
      </c>
      <c r="B106" s="3" t="s">
        <v>67</v>
      </c>
      <c r="C106" s="3" t="s">
        <v>36</v>
      </c>
      <c r="D106" s="3" t="s">
        <v>35</v>
      </c>
      <c r="E106" s="3" t="s">
        <v>85</v>
      </c>
      <c r="F106" s="3" t="s">
        <v>38</v>
      </c>
      <c r="G106" s="6">
        <v>1880313</v>
      </c>
      <c r="H106" s="6">
        <v>0</v>
      </c>
      <c r="I106" s="6">
        <f t="shared" ref="I106:I109" si="87">G106+H106</f>
        <v>1880313</v>
      </c>
      <c r="J106" s="6">
        <v>1880313</v>
      </c>
      <c r="K106" s="6">
        <v>0</v>
      </c>
      <c r="L106" s="6">
        <f t="shared" ref="L106:L112" si="88">J106+K106</f>
        <v>1880313</v>
      </c>
    </row>
    <row r="107" spans="1:12" ht="96" customHeight="1">
      <c r="A107" s="15" t="s">
        <v>165</v>
      </c>
      <c r="B107" s="3" t="s">
        <v>67</v>
      </c>
      <c r="C107" s="3" t="s">
        <v>36</v>
      </c>
      <c r="D107" s="3" t="s">
        <v>35</v>
      </c>
      <c r="E107" s="3" t="s">
        <v>86</v>
      </c>
      <c r="F107" s="3" t="s">
        <v>38</v>
      </c>
      <c r="G107" s="6">
        <f>43452782-707338-4750000</f>
        <v>37995444</v>
      </c>
      <c r="H107" s="6">
        <v>0</v>
      </c>
      <c r="I107" s="6">
        <f t="shared" si="87"/>
        <v>37995444</v>
      </c>
      <c r="J107" s="6">
        <f>43452782-707338-9550000</f>
        <v>33195444</v>
      </c>
      <c r="K107" s="6">
        <v>0</v>
      </c>
      <c r="L107" s="6">
        <f t="shared" si="88"/>
        <v>33195444</v>
      </c>
    </row>
    <row r="108" spans="1:12" ht="47.25" customHeight="1">
      <c r="A108" s="15" t="s">
        <v>216</v>
      </c>
      <c r="B108" s="3" t="s">
        <v>67</v>
      </c>
      <c r="C108" s="3" t="s">
        <v>36</v>
      </c>
      <c r="D108" s="3" t="s">
        <v>35</v>
      </c>
      <c r="E108" s="3" t="s">
        <v>86</v>
      </c>
      <c r="F108" s="3" t="s">
        <v>39</v>
      </c>
      <c r="G108" s="6">
        <f>1306397+244419</f>
        <v>1550816</v>
      </c>
      <c r="H108" s="6">
        <v>0</v>
      </c>
      <c r="I108" s="6">
        <f t="shared" si="87"/>
        <v>1550816</v>
      </c>
      <c r="J108" s="6">
        <f>1306397+244419</f>
        <v>1550816</v>
      </c>
      <c r="K108" s="6">
        <v>0</v>
      </c>
      <c r="L108" s="6">
        <f t="shared" si="88"/>
        <v>1550816</v>
      </c>
    </row>
    <row r="109" spans="1:12" ht="49.5" customHeight="1">
      <c r="A109" s="15" t="s">
        <v>24</v>
      </c>
      <c r="B109" s="3" t="s">
        <v>67</v>
      </c>
      <c r="C109" s="3" t="s">
        <v>36</v>
      </c>
      <c r="D109" s="3" t="s">
        <v>35</v>
      </c>
      <c r="E109" s="3" t="s">
        <v>86</v>
      </c>
      <c r="F109" s="3" t="s">
        <v>40</v>
      </c>
      <c r="G109" s="6">
        <f>260860-244419</f>
        <v>16441</v>
      </c>
      <c r="H109" s="6">
        <v>0</v>
      </c>
      <c r="I109" s="6">
        <f t="shared" si="87"/>
        <v>16441</v>
      </c>
      <c r="J109" s="6">
        <f>260860-244419</f>
        <v>16441</v>
      </c>
      <c r="K109" s="6">
        <v>0</v>
      </c>
      <c r="L109" s="6">
        <f t="shared" si="88"/>
        <v>16441</v>
      </c>
    </row>
    <row r="110" spans="1:12" ht="96.75" customHeight="1">
      <c r="A110" s="15" t="s">
        <v>166</v>
      </c>
      <c r="B110" s="3" t="s">
        <v>67</v>
      </c>
      <c r="C110" s="3" t="s">
        <v>36</v>
      </c>
      <c r="D110" s="3" t="s">
        <v>35</v>
      </c>
      <c r="E110" s="3" t="s">
        <v>88</v>
      </c>
      <c r="F110" s="3" t="s">
        <v>38</v>
      </c>
      <c r="G110" s="6">
        <v>8047138.0800000001</v>
      </c>
      <c r="H110" s="6">
        <v>0</v>
      </c>
      <c r="I110" s="6">
        <f t="shared" ref="I110:I112" si="89">G110+H110</f>
        <v>8047138.0800000001</v>
      </c>
      <c r="J110" s="6">
        <v>8047138.0800000001</v>
      </c>
      <c r="K110" s="6">
        <v>0</v>
      </c>
      <c r="L110" s="6">
        <f t="shared" si="88"/>
        <v>8047138.0800000001</v>
      </c>
    </row>
    <row r="111" spans="1:12" ht="49.5" customHeight="1">
      <c r="A111" s="15" t="s">
        <v>217</v>
      </c>
      <c r="B111" s="3" t="s">
        <v>67</v>
      </c>
      <c r="C111" s="3" t="s">
        <v>36</v>
      </c>
      <c r="D111" s="3" t="s">
        <v>35</v>
      </c>
      <c r="E111" s="3" t="s">
        <v>88</v>
      </c>
      <c r="F111" s="3" t="s">
        <v>39</v>
      </c>
      <c r="G111" s="6">
        <f>3689873.29+691200+303840</f>
        <v>4684913.29</v>
      </c>
      <c r="H111" s="6">
        <v>0</v>
      </c>
      <c r="I111" s="6">
        <f t="shared" si="89"/>
        <v>4684913.29</v>
      </c>
      <c r="J111" s="6">
        <f>3689873.29+691200+303840</f>
        <v>4684913.29</v>
      </c>
      <c r="K111" s="6">
        <v>0</v>
      </c>
      <c r="L111" s="6">
        <f t="shared" si="88"/>
        <v>4684913.29</v>
      </c>
    </row>
    <row r="112" spans="1:12" ht="35.25" customHeight="1">
      <c r="A112" s="15" t="s">
        <v>25</v>
      </c>
      <c r="B112" s="3" t="s">
        <v>67</v>
      </c>
      <c r="C112" s="3" t="s">
        <v>36</v>
      </c>
      <c r="D112" s="3" t="s">
        <v>35</v>
      </c>
      <c r="E112" s="3" t="s">
        <v>88</v>
      </c>
      <c r="F112" s="3" t="s">
        <v>40</v>
      </c>
      <c r="G112" s="6">
        <v>83708</v>
      </c>
      <c r="H112" s="6">
        <v>0</v>
      </c>
      <c r="I112" s="6">
        <f t="shared" si="89"/>
        <v>83708</v>
      </c>
      <c r="J112" s="6">
        <v>83708</v>
      </c>
      <c r="K112" s="6">
        <v>0</v>
      </c>
      <c r="L112" s="6">
        <f t="shared" si="88"/>
        <v>83708</v>
      </c>
    </row>
    <row r="113" spans="1:12" s="9" customFormat="1" ht="31.5">
      <c r="A113" s="23" t="s">
        <v>131</v>
      </c>
      <c r="B113" s="27" t="s">
        <v>67</v>
      </c>
      <c r="C113" s="27" t="s">
        <v>36</v>
      </c>
      <c r="D113" s="27" t="s">
        <v>46</v>
      </c>
      <c r="E113" s="27" t="s">
        <v>152</v>
      </c>
      <c r="F113" s="27"/>
      <c r="G113" s="28">
        <f t="shared" ref="G113:L113" si="90">SUM(G114:G115)</f>
        <v>317000</v>
      </c>
      <c r="H113" s="28">
        <f t="shared" si="90"/>
        <v>0</v>
      </c>
      <c r="I113" s="28">
        <f t="shared" si="90"/>
        <v>317000</v>
      </c>
      <c r="J113" s="28">
        <f t="shared" si="90"/>
        <v>0</v>
      </c>
      <c r="K113" s="28">
        <f t="shared" si="90"/>
        <v>0</v>
      </c>
      <c r="L113" s="28">
        <f t="shared" si="90"/>
        <v>0</v>
      </c>
    </row>
    <row r="114" spans="1:12" ht="47.25" customHeight="1">
      <c r="A114" s="15" t="s">
        <v>218</v>
      </c>
      <c r="B114" s="3" t="s">
        <v>67</v>
      </c>
      <c r="C114" s="3" t="s">
        <v>36</v>
      </c>
      <c r="D114" s="3" t="s">
        <v>46</v>
      </c>
      <c r="E114" s="3" t="s">
        <v>89</v>
      </c>
      <c r="F114" s="3" t="s">
        <v>39</v>
      </c>
      <c r="G114" s="6">
        <v>292000</v>
      </c>
      <c r="H114" s="6">
        <v>0</v>
      </c>
      <c r="I114" s="6">
        <f t="shared" ref="I114:I115" si="91">G114+H114</f>
        <v>292000</v>
      </c>
      <c r="J114" s="6">
        <v>0</v>
      </c>
      <c r="K114" s="6">
        <v>0</v>
      </c>
      <c r="L114" s="6">
        <f t="shared" ref="L114:L115" si="92">J114+K114</f>
        <v>0</v>
      </c>
    </row>
    <row r="115" spans="1:12" ht="65.25" customHeight="1">
      <c r="A115" s="34" t="s">
        <v>203</v>
      </c>
      <c r="B115" s="3" t="s">
        <v>67</v>
      </c>
      <c r="C115" s="3" t="s">
        <v>36</v>
      </c>
      <c r="D115" s="3" t="s">
        <v>46</v>
      </c>
      <c r="E115" s="3" t="s">
        <v>202</v>
      </c>
      <c r="F115" s="3" t="s">
        <v>55</v>
      </c>
      <c r="G115" s="6">
        <v>25000</v>
      </c>
      <c r="H115" s="6">
        <v>0</v>
      </c>
      <c r="I115" s="6">
        <f t="shared" si="91"/>
        <v>25000</v>
      </c>
      <c r="J115" s="6">
        <v>0</v>
      </c>
      <c r="K115" s="6">
        <v>0</v>
      </c>
      <c r="L115" s="6">
        <f t="shared" si="92"/>
        <v>0</v>
      </c>
    </row>
    <row r="116" spans="1:12" s="9" customFormat="1" ht="47.25">
      <c r="A116" s="23" t="s">
        <v>132</v>
      </c>
      <c r="B116" s="27" t="s">
        <v>67</v>
      </c>
      <c r="C116" s="27" t="s">
        <v>36</v>
      </c>
      <c r="D116" s="27" t="s">
        <v>49</v>
      </c>
      <c r="E116" s="27" t="s">
        <v>152</v>
      </c>
      <c r="F116" s="27"/>
      <c r="G116" s="28">
        <f>SUM(G117:G119)</f>
        <v>1678698.19</v>
      </c>
      <c r="H116" s="28">
        <f t="shared" ref="H116:I116" si="93">SUM(H117:H119)</f>
        <v>0</v>
      </c>
      <c r="I116" s="28">
        <f t="shared" si="93"/>
        <v>1678698.19</v>
      </c>
      <c r="J116" s="28">
        <f>SUM(J117:J119)</f>
        <v>739161</v>
      </c>
      <c r="K116" s="28">
        <f t="shared" ref="K116" si="94">SUM(K117:K119)</f>
        <v>0</v>
      </c>
      <c r="L116" s="28">
        <f t="shared" ref="L116" si="95">SUM(L117:L119)</f>
        <v>739161</v>
      </c>
    </row>
    <row r="117" spans="1:12" ht="47.25" customHeight="1">
      <c r="A117" s="15" t="s">
        <v>192</v>
      </c>
      <c r="B117" s="3" t="s">
        <v>67</v>
      </c>
      <c r="C117" s="3" t="s">
        <v>36</v>
      </c>
      <c r="D117" s="3" t="s">
        <v>49</v>
      </c>
      <c r="E117" s="3" t="s">
        <v>191</v>
      </c>
      <c r="F117" s="3" t="s">
        <v>39</v>
      </c>
      <c r="G117" s="6">
        <v>59000</v>
      </c>
      <c r="H117" s="6">
        <v>0</v>
      </c>
      <c r="I117" s="6">
        <f t="shared" ref="I117:I119" si="96">G117+H117</f>
        <v>59000</v>
      </c>
      <c r="J117" s="6">
        <v>59000</v>
      </c>
      <c r="K117" s="6">
        <v>0</v>
      </c>
      <c r="L117" s="6">
        <f t="shared" ref="L117:L119" si="97">J117+K117</f>
        <v>59000</v>
      </c>
    </row>
    <row r="118" spans="1:12" ht="47.25" customHeight="1">
      <c r="A118" s="15" t="s">
        <v>140</v>
      </c>
      <c r="B118" s="3" t="s">
        <v>67</v>
      </c>
      <c r="C118" s="3" t="s">
        <v>36</v>
      </c>
      <c r="D118" s="3" t="s">
        <v>49</v>
      </c>
      <c r="E118" s="3" t="s">
        <v>141</v>
      </c>
      <c r="F118" s="3" t="s">
        <v>39</v>
      </c>
      <c r="G118" s="6">
        <v>180161</v>
      </c>
      <c r="H118" s="6">
        <v>0</v>
      </c>
      <c r="I118" s="6">
        <f t="shared" si="96"/>
        <v>180161</v>
      </c>
      <c r="J118" s="6">
        <v>180161</v>
      </c>
      <c r="K118" s="6">
        <v>0</v>
      </c>
      <c r="L118" s="6">
        <f t="shared" si="97"/>
        <v>180161</v>
      </c>
    </row>
    <row r="119" spans="1:12" ht="63">
      <c r="A119" s="15" t="s">
        <v>9</v>
      </c>
      <c r="B119" s="3" t="s">
        <v>67</v>
      </c>
      <c r="C119" s="3" t="s">
        <v>36</v>
      </c>
      <c r="D119" s="3" t="s">
        <v>49</v>
      </c>
      <c r="E119" s="3" t="s">
        <v>90</v>
      </c>
      <c r="F119" s="3" t="s">
        <v>55</v>
      </c>
      <c r="G119" s="6">
        <v>1439537.19</v>
      </c>
      <c r="H119" s="6">
        <v>0</v>
      </c>
      <c r="I119" s="6">
        <f t="shared" si="96"/>
        <v>1439537.19</v>
      </c>
      <c r="J119" s="6">
        <v>500000</v>
      </c>
      <c r="K119" s="6">
        <v>0</v>
      </c>
      <c r="L119" s="6">
        <f t="shared" si="97"/>
        <v>500000</v>
      </c>
    </row>
    <row r="120" spans="1:12" s="9" customFormat="1" ht="47.25">
      <c r="A120" s="23" t="s">
        <v>133</v>
      </c>
      <c r="B120" s="27" t="s">
        <v>67</v>
      </c>
      <c r="C120" s="27" t="s">
        <v>36</v>
      </c>
      <c r="D120" s="27" t="s">
        <v>52</v>
      </c>
      <c r="E120" s="27" t="s">
        <v>152</v>
      </c>
      <c r="F120" s="27"/>
      <c r="G120" s="28">
        <f t="shared" ref="G120:L120" si="98">SUM(G121:G122)</f>
        <v>242000</v>
      </c>
      <c r="H120" s="28">
        <f t="shared" si="98"/>
        <v>0</v>
      </c>
      <c r="I120" s="28">
        <f t="shared" si="98"/>
        <v>242000</v>
      </c>
      <c r="J120" s="28">
        <f t="shared" si="98"/>
        <v>100000</v>
      </c>
      <c r="K120" s="28">
        <f t="shared" si="98"/>
        <v>0</v>
      </c>
      <c r="L120" s="28">
        <f t="shared" si="98"/>
        <v>100000</v>
      </c>
    </row>
    <row r="121" spans="1:12" ht="31.5" customHeight="1">
      <c r="A121" s="15" t="s">
        <v>26</v>
      </c>
      <c r="B121" s="3" t="s">
        <v>67</v>
      </c>
      <c r="C121" s="3" t="s">
        <v>36</v>
      </c>
      <c r="D121" s="3" t="s">
        <v>52</v>
      </c>
      <c r="E121" s="3" t="s">
        <v>91</v>
      </c>
      <c r="F121" s="3" t="s">
        <v>40</v>
      </c>
      <c r="G121" s="6">
        <v>100000</v>
      </c>
      <c r="H121" s="6">
        <v>0</v>
      </c>
      <c r="I121" s="6">
        <f t="shared" ref="I121:I122" si="99">G121+H121</f>
        <v>100000</v>
      </c>
      <c r="J121" s="6">
        <v>100000</v>
      </c>
      <c r="K121" s="6">
        <v>0</v>
      </c>
      <c r="L121" s="6">
        <f t="shared" ref="L121:L122" si="100">J121+K121</f>
        <v>100000</v>
      </c>
    </row>
    <row r="122" spans="1:12" ht="63">
      <c r="A122" s="15" t="s">
        <v>194</v>
      </c>
      <c r="B122" s="3" t="s">
        <v>67</v>
      </c>
      <c r="C122" s="3" t="s">
        <v>36</v>
      </c>
      <c r="D122" s="3" t="s">
        <v>52</v>
      </c>
      <c r="E122" s="3" t="s">
        <v>193</v>
      </c>
      <c r="F122" s="3" t="s">
        <v>39</v>
      </c>
      <c r="G122" s="6">
        <v>142000</v>
      </c>
      <c r="H122" s="6">
        <v>0</v>
      </c>
      <c r="I122" s="6">
        <f t="shared" si="99"/>
        <v>142000</v>
      </c>
      <c r="J122" s="6">
        <v>0</v>
      </c>
      <c r="K122" s="6">
        <v>0</v>
      </c>
      <c r="L122" s="6">
        <f t="shared" si="100"/>
        <v>0</v>
      </c>
    </row>
    <row r="123" spans="1:12" ht="33.75" customHeight="1">
      <c r="A123" s="30" t="s">
        <v>14</v>
      </c>
      <c r="B123" s="31" t="s">
        <v>67</v>
      </c>
      <c r="C123" s="31" t="s">
        <v>36</v>
      </c>
      <c r="D123" s="31" t="s">
        <v>51</v>
      </c>
      <c r="E123" s="31" t="s">
        <v>152</v>
      </c>
      <c r="F123" s="31"/>
      <c r="G123" s="32">
        <f>G124</f>
        <v>410500</v>
      </c>
      <c r="H123" s="32">
        <f t="shared" ref="H123:I123" si="101">H124</f>
        <v>0</v>
      </c>
      <c r="I123" s="32">
        <f t="shared" si="101"/>
        <v>410500</v>
      </c>
      <c r="J123" s="32">
        <f>J124</f>
        <v>0</v>
      </c>
      <c r="K123" s="32">
        <f t="shared" ref="K123" si="102">K124</f>
        <v>0</v>
      </c>
      <c r="L123" s="32">
        <f t="shared" ref="L123" si="103">L124</f>
        <v>0</v>
      </c>
    </row>
    <row r="124" spans="1:12" ht="94.5">
      <c r="A124" s="15" t="s">
        <v>18</v>
      </c>
      <c r="B124" s="3" t="s">
        <v>67</v>
      </c>
      <c r="C124" s="3" t="s">
        <v>36</v>
      </c>
      <c r="D124" s="3" t="s">
        <v>51</v>
      </c>
      <c r="E124" s="3" t="s">
        <v>81</v>
      </c>
      <c r="F124" s="3" t="s">
        <v>71</v>
      </c>
      <c r="G124" s="6">
        <v>410500</v>
      </c>
      <c r="H124" s="6">
        <v>0</v>
      </c>
      <c r="I124" s="6">
        <f t="shared" ref="I124" si="104">G124+H124</f>
        <v>410500</v>
      </c>
      <c r="J124" s="6">
        <v>0</v>
      </c>
      <c r="K124" s="6">
        <v>0</v>
      </c>
      <c r="L124" s="6">
        <f t="shared" ref="L124" si="105">J124+K124</f>
        <v>0</v>
      </c>
    </row>
    <row r="125" spans="1:12" s="10" customFormat="1" ht="168.75">
      <c r="A125" s="17" t="s">
        <v>28</v>
      </c>
      <c r="B125" s="19" t="s">
        <v>57</v>
      </c>
      <c r="C125" s="19" t="s">
        <v>36</v>
      </c>
      <c r="D125" s="19" t="s">
        <v>105</v>
      </c>
      <c r="E125" s="19" t="s">
        <v>152</v>
      </c>
      <c r="F125" s="19"/>
      <c r="G125" s="22">
        <f>G126</f>
        <v>6273669.6499999994</v>
      </c>
      <c r="H125" s="22">
        <f t="shared" ref="H125:I125" si="106">H126</f>
        <v>0</v>
      </c>
      <c r="I125" s="22">
        <f t="shared" si="106"/>
        <v>6273669.6499999994</v>
      </c>
      <c r="J125" s="22">
        <f>J126</f>
        <v>6273669.6499999994</v>
      </c>
      <c r="K125" s="22">
        <f t="shared" ref="K125" si="107">K126</f>
        <v>0</v>
      </c>
      <c r="L125" s="22">
        <f t="shared" ref="L125" si="108">L126</f>
        <v>6273669.6499999994</v>
      </c>
    </row>
    <row r="126" spans="1:12" s="9" customFormat="1" ht="31.5">
      <c r="A126" s="23" t="s">
        <v>142</v>
      </c>
      <c r="B126" s="27" t="s">
        <v>57</v>
      </c>
      <c r="C126" s="27" t="s">
        <v>36</v>
      </c>
      <c r="D126" s="27" t="s">
        <v>35</v>
      </c>
      <c r="E126" s="27" t="s">
        <v>152</v>
      </c>
      <c r="F126" s="27"/>
      <c r="G126" s="28">
        <f>SUM(G127:G133)</f>
        <v>6273669.6499999994</v>
      </c>
      <c r="H126" s="28">
        <f t="shared" ref="H126:I126" si="109">SUM(H127:H133)</f>
        <v>0</v>
      </c>
      <c r="I126" s="28">
        <f t="shared" si="109"/>
        <v>6273669.6499999994</v>
      </c>
      <c r="J126" s="28">
        <f>SUM(J127:J133)</f>
        <v>6273669.6499999994</v>
      </c>
      <c r="K126" s="28">
        <f t="shared" ref="K126" si="110">SUM(K127:K133)</f>
        <v>0</v>
      </c>
      <c r="L126" s="28">
        <f t="shared" ref="L126" si="111">SUM(L127:L133)</f>
        <v>6273669.6499999994</v>
      </c>
    </row>
    <row r="127" spans="1:12" ht="110.25" customHeight="1">
      <c r="A127" s="15" t="s">
        <v>175</v>
      </c>
      <c r="B127" s="3" t="s">
        <v>57</v>
      </c>
      <c r="C127" s="3" t="s">
        <v>36</v>
      </c>
      <c r="D127" s="3" t="s">
        <v>35</v>
      </c>
      <c r="E127" s="3" t="s">
        <v>174</v>
      </c>
      <c r="F127" s="3" t="s">
        <v>38</v>
      </c>
      <c r="G127" s="6">
        <v>3959831.3</v>
      </c>
      <c r="H127" s="6">
        <v>0</v>
      </c>
      <c r="I127" s="6">
        <f t="shared" ref="I127:I133" si="112">G127+H127</f>
        <v>3959831.3</v>
      </c>
      <c r="J127" s="6">
        <v>3959831.3</v>
      </c>
      <c r="K127" s="6">
        <v>0</v>
      </c>
      <c r="L127" s="6">
        <f t="shared" ref="L127:L133" si="113">J127+K127</f>
        <v>3959831.3</v>
      </c>
    </row>
    <row r="128" spans="1:12" ht="63.75" customHeight="1">
      <c r="A128" s="15" t="s">
        <v>0</v>
      </c>
      <c r="B128" s="3" t="s">
        <v>57</v>
      </c>
      <c r="C128" s="3" t="s">
        <v>36</v>
      </c>
      <c r="D128" s="3" t="s">
        <v>35</v>
      </c>
      <c r="E128" s="3" t="s">
        <v>174</v>
      </c>
      <c r="F128" s="3" t="s">
        <v>39</v>
      </c>
      <c r="G128" s="6">
        <v>371001</v>
      </c>
      <c r="H128" s="6">
        <v>0</v>
      </c>
      <c r="I128" s="6">
        <f t="shared" si="112"/>
        <v>371001</v>
      </c>
      <c r="J128" s="6">
        <v>371001</v>
      </c>
      <c r="K128" s="6">
        <v>0</v>
      </c>
      <c r="L128" s="6">
        <f t="shared" si="113"/>
        <v>371001</v>
      </c>
    </row>
    <row r="129" spans="1:12" ht="63" customHeight="1">
      <c r="A129" s="15" t="s">
        <v>27</v>
      </c>
      <c r="B129" s="3" t="s">
        <v>57</v>
      </c>
      <c r="C129" s="3" t="s">
        <v>36</v>
      </c>
      <c r="D129" s="3" t="s">
        <v>35</v>
      </c>
      <c r="E129" s="3" t="s">
        <v>174</v>
      </c>
      <c r="F129" s="3" t="s">
        <v>40</v>
      </c>
      <c r="G129" s="6">
        <v>1512</v>
      </c>
      <c r="H129" s="6">
        <v>0</v>
      </c>
      <c r="I129" s="6">
        <f t="shared" si="112"/>
        <v>1512</v>
      </c>
      <c r="J129" s="6">
        <v>1512</v>
      </c>
      <c r="K129" s="6">
        <v>0</v>
      </c>
      <c r="L129" s="6">
        <f t="shared" si="113"/>
        <v>1512</v>
      </c>
    </row>
    <row r="130" spans="1:12" ht="111.75" customHeight="1">
      <c r="A130" s="15" t="s">
        <v>196</v>
      </c>
      <c r="B130" s="3" t="s">
        <v>57</v>
      </c>
      <c r="C130" s="3" t="s">
        <v>36</v>
      </c>
      <c r="D130" s="3" t="s">
        <v>35</v>
      </c>
      <c r="E130" s="3" t="s">
        <v>195</v>
      </c>
      <c r="F130" s="3" t="s">
        <v>38</v>
      </c>
      <c r="G130" s="6">
        <f>1410253-237591</f>
        <v>1172662</v>
      </c>
      <c r="H130" s="6">
        <v>0</v>
      </c>
      <c r="I130" s="6">
        <f t="shared" si="112"/>
        <v>1172662</v>
      </c>
      <c r="J130" s="6">
        <f>1410253-237591</f>
        <v>1172662</v>
      </c>
      <c r="K130" s="6">
        <v>0</v>
      </c>
      <c r="L130" s="6">
        <f t="shared" si="113"/>
        <v>1172662</v>
      </c>
    </row>
    <row r="131" spans="1:12" ht="80.25" customHeight="1">
      <c r="A131" s="15" t="s">
        <v>197</v>
      </c>
      <c r="B131" s="3" t="s">
        <v>57</v>
      </c>
      <c r="C131" s="3" t="s">
        <v>36</v>
      </c>
      <c r="D131" s="3" t="s">
        <v>35</v>
      </c>
      <c r="E131" s="3" t="s">
        <v>195</v>
      </c>
      <c r="F131" s="3" t="s">
        <v>39</v>
      </c>
      <c r="G131" s="6">
        <v>237591</v>
      </c>
      <c r="H131" s="6">
        <v>0</v>
      </c>
      <c r="I131" s="6">
        <f t="shared" si="112"/>
        <v>237591</v>
      </c>
      <c r="J131" s="6">
        <v>237591</v>
      </c>
      <c r="K131" s="6">
        <v>0</v>
      </c>
      <c r="L131" s="6">
        <f t="shared" si="113"/>
        <v>237591</v>
      </c>
    </row>
    <row r="132" spans="1:12" ht="127.5" customHeight="1">
      <c r="A132" s="15" t="s">
        <v>176</v>
      </c>
      <c r="B132" s="3" t="s">
        <v>57</v>
      </c>
      <c r="C132" s="3" t="s">
        <v>36</v>
      </c>
      <c r="D132" s="3" t="s">
        <v>35</v>
      </c>
      <c r="E132" s="3" t="s">
        <v>92</v>
      </c>
      <c r="F132" s="3" t="s">
        <v>38</v>
      </c>
      <c r="G132" s="6">
        <v>482885.35</v>
      </c>
      <c r="H132" s="6">
        <v>0</v>
      </c>
      <c r="I132" s="6">
        <f t="shared" si="112"/>
        <v>482885.35</v>
      </c>
      <c r="J132" s="6">
        <v>482885.35</v>
      </c>
      <c r="K132" s="6">
        <v>0</v>
      </c>
      <c r="L132" s="6">
        <f t="shared" si="113"/>
        <v>482885.35</v>
      </c>
    </row>
    <row r="133" spans="1:12" ht="94.5">
      <c r="A133" s="15" t="s">
        <v>1</v>
      </c>
      <c r="B133" s="3" t="s">
        <v>57</v>
      </c>
      <c r="C133" s="3" t="s">
        <v>36</v>
      </c>
      <c r="D133" s="3" t="s">
        <v>35</v>
      </c>
      <c r="E133" s="3" t="s">
        <v>92</v>
      </c>
      <c r="F133" s="3" t="s">
        <v>39</v>
      </c>
      <c r="G133" s="6">
        <v>48187</v>
      </c>
      <c r="H133" s="6">
        <v>0</v>
      </c>
      <c r="I133" s="6">
        <f t="shared" si="112"/>
        <v>48187</v>
      </c>
      <c r="J133" s="6">
        <v>48187</v>
      </c>
      <c r="K133" s="6">
        <v>0</v>
      </c>
      <c r="L133" s="6">
        <f t="shared" si="113"/>
        <v>48187</v>
      </c>
    </row>
    <row r="134" spans="1:12" s="10" customFormat="1" ht="93.75">
      <c r="A134" s="17" t="s">
        <v>143</v>
      </c>
      <c r="B134" s="19" t="s">
        <v>53</v>
      </c>
      <c r="C134" s="19" t="s">
        <v>36</v>
      </c>
      <c r="D134" s="19" t="s">
        <v>105</v>
      </c>
      <c r="E134" s="19" t="s">
        <v>152</v>
      </c>
      <c r="F134" s="19"/>
      <c r="G134" s="22">
        <f>G135</f>
        <v>1082343.1600000001</v>
      </c>
      <c r="H134" s="22">
        <f t="shared" ref="H134:L134" si="114">H135</f>
        <v>0</v>
      </c>
      <c r="I134" s="22">
        <f t="shared" si="114"/>
        <v>1082343.1600000001</v>
      </c>
      <c r="J134" s="22">
        <f t="shared" si="114"/>
        <v>1082343.1600000001</v>
      </c>
      <c r="K134" s="22">
        <f t="shared" si="114"/>
        <v>0</v>
      </c>
      <c r="L134" s="22">
        <f t="shared" si="114"/>
        <v>1082343.1600000001</v>
      </c>
    </row>
    <row r="135" spans="1:12" s="9" customFormat="1" ht="31.5">
      <c r="A135" s="23" t="s">
        <v>144</v>
      </c>
      <c r="B135" s="27" t="s">
        <v>53</v>
      </c>
      <c r="C135" s="27" t="s">
        <v>36</v>
      </c>
      <c r="D135" s="27" t="s">
        <v>35</v>
      </c>
      <c r="E135" s="27" t="s">
        <v>152</v>
      </c>
      <c r="F135" s="27"/>
      <c r="G135" s="28">
        <f>SUM(G136:G140)</f>
        <v>1082343.1600000001</v>
      </c>
      <c r="H135" s="28">
        <f t="shared" ref="H135:I135" si="115">SUM(H136:H140)</f>
        <v>0</v>
      </c>
      <c r="I135" s="28">
        <f t="shared" si="115"/>
        <v>1082343.1600000001</v>
      </c>
      <c r="J135" s="28">
        <f>SUM(J136:J140)</f>
        <v>1082343.1600000001</v>
      </c>
      <c r="K135" s="28">
        <f t="shared" ref="K135" si="116">SUM(K136:K140)</f>
        <v>0</v>
      </c>
      <c r="L135" s="28">
        <f t="shared" ref="L135" si="117">SUM(L136:L140)</f>
        <v>1082343.1600000001</v>
      </c>
    </row>
    <row r="136" spans="1:12" ht="49.5" customHeight="1">
      <c r="A136" s="15" t="s">
        <v>2</v>
      </c>
      <c r="B136" s="3" t="s">
        <v>53</v>
      </c>
      <c r="C136" s="3" t="s">
        <v>36</v>
      </c>
      <c r="D136" s="3" t="s">
        <v>35</v>
      </c>
      <c r="E136" s="3" t="s">
        <v>93</v>
      </c>
      <c r="F136" s="3" t="s">
        <v>39</v>
      </c>
      <c r="G136" s="6">
        <v>6322.8</v>
      </c>
      <c r="H136" s="6">
        <v>0</v>
      </c>
      <c r="I136" s="6">
        <f t="shared" ref="I136:I140" si="118">G136+H136</f>
        <v>6322.8</v>
      </c>
      <c r="J136" s="6">
        <v>6322.8</v>
      </c>
      <c r="K136" s="6">
        <v>0</v>
      </c>
      <c r="L136" s="6">
        <f t="shared" ref="L136:L140" si="119">J136+K136</f>
        <v>6322.8</v>
      </c>
    </row>
    <row r="137" spans="1:12" ht="96" customHeight="1">
      <c r="A137" s="15" t="s">
        <v>177</v>
      </c>
      <c r="B137" s="3" t="s">
        <v>53</v>
      </c>
      <c r="C137" s="3" t="s">
        <v>36</v>
      </c>
      <c r="D137" s="3" t="s">
        <v>35</v>
      </c>
      <c r="E137" s="3" t="s">
        <v>94</v>
      </c>
      <c r="F137" s="3" t="s">
        <v>38</v>
      </c>
      <c r="G137" s="6">
        <f>767951.76-20000</f>
        <v>747951.76</v>
      </c>
      <c r="H137" s="6">
        <v>0</v>
      </c>
      <c r="I137" s="6">
        <f t="shared" si="118"/>
        <v>747951.76</v>
      </c>
      <c r="J137" s="6">
        <f>767951.76-20000</f>
        <v>747951.76</v>
      </c>
      <c r="K137" s="6">
        <v>0</v>
      </c>
      <c r="L137" s="6">
        <f t="shared" si="119"/>
        <v>747951.76</v>
      </c>
    </row>
    <row r="138" spans="1:12" ht="63">
      <c r="A138" s="15" t="s">
        <v>3</v>
      </c>
      <c r="B138" s="3" t="s">
        <v>53</v>
      </c>
      <c r="C138" s="3" t="s">
        <v>36</v>
      </c>
      <c r="D138" s="3" t="s">
        <v>35</v>
      </c>
      <c r="E138" s="3" t="s">
        <v>94</v>
      </c>
      <c r="F138" s="3" t="s">
        <v>39</v>
      </c>
      <c r="G138" s="6">
        <v>20000</v>
      </c>
      <c r="H138" s="6">
        <v>0</v>
      </c>
      <c r="I138" s="6">
        <f t="shared" si="118"/>
        <v>20000</v>
      </c>
      <c r="J138" s="6">
        <v>20000</v>
      </c>
      <c r="K138" s="6">
        <v>0</v>
      </c>
      <c r="L138" s="6">
        <f t="shared" si="119"/>
        <v>20000</v>
      </c>
    </row>
    <row r="139" spans="1:12" ht="80.25" customHeight="1">
      <c r="A139" s="15" t="s">
        <v>4</v>
      </c>
      <c r="B139" s="3" t="s">
        <v>53</v>
      </c>
      <c r="C139" s="3" t="s">
        <v>36</v>
      </c>
      <c r="D139" s="3" t="s">
        <v>35</v>
      </c>
      <c r="E139" s="3" t="s">
        <v>95</v>
      </c>
      <c r="F139" s="3" t="s">
        <v>39</v>
      </c>
      <c r="G139" s="6">
        <v>283500</v>
      </c>
      <c r="H139" s="6">
        <v>0</v>
      </c>
      <c r="I139" s="6">
        <f t="shared" si="118"/>
        <v>283500</v>
      </c>
      <c r="J139" s="6">
        <v>283500</v>
      </c>
      <c r="K139" s="6">
        <v>0</v>
      </c>
      <c r="L139" s="6">
        <f t="shared" si="119"/>
        <v>283500</v>
      </c>
    </row>
    <row r="140" spans="1:12" ht="125.25" customHeight="1">
      <c r="A140" s="15" t="s">
        <v>199</v>
      </c>
      <c r="B140" s="3" t="s">
        <v>53</v>
      </c>
      <c r="C140" s="3" t="s">
        <v>36</v>
      </c>
      <c r="D140" s="3" t="s">
        <v>35</v>
      </c>
      <c r="E140" s="3" t="s">
        <v>198</v>
      </c>
      <c r="F140" s="3" t="s">
        <v>39</v>
      </c>
      <c r="G140" s="6">
        <v>24568.6</v>
      </c>
      <c r="H140" s="6">
        <v>0</v>
      </c>
      <c r="I140" s="6">
        <f t="shared" si="118"/>
        <v>24568.6</v>
      </c>
      <c r="J140" s="6">
        <v>24568.6</v>
      </c>
      <c r="K140" s="6">
        <v>0</v>
      </c>
      <c r="L140" s="6">
        <f t="shared" si="119"/>
        <v>24568.6</v>
      </c>
    </row>
    <row r="141" spans="1:12" s="10" customFormat="1" ht="62.25" customHeight="1">
      <c r="A141" s="17" t="s">
        <v>145</v>
      </c>
      <c r="B141" s="19" t="s">
        <v>83</v>
      </c>
      <c r="C141" s="19" t="s">
        <v>36</v>
      </c>
      <c r="D141" s="19" t="s">
        <v>105</v>
      </c>
      <c r="E141" s="19" t="s">
        <v>152</v>
      </c>
      <c r="F141" s="19"/>
      <c r="G141" s="22">
        <f t="shared" ref="G141:L141" si="120">G142+G146+G151+G149</f>
        <v>23304413.02</v>
      </c>
      <c r="H141" s="22">
        <f t="shared" si="120"/>
        <v>12877800</v>
      </c>
      <c r="I141" s="22">
        <f t="shared" si="120"/>
        <v>36182213.019999996</v>
      </c>
      <c r="J141" s="22">
        <f t="shared" si="120"/>
        <v>30197113.02</v>
      </c>
      <c r="K141" s="22">
        <f t="shared" si="120"/>
        <v>0</v>
      </c>
      <c r="L141" s="22">
        <f t="shared" si="120"/>
        <v>30197113.02</v>
      </c>
    </row>
    <row r="142" spans="1:12" s="9" customFormat="1" ht="47.25">
      <c r="A142" s="23" t="s">
        <v>229</v>
      </c>
      <c r="B142" s="27" t="s">
        <v>83</v>
      </c>
      <c r="C142" s="27" t="s">
        <v>36</v>
      </c>
      <c r="D142" s="27" t="s">
        <v>35</v>
      </c>
      <c r="E142" s="27" t="s">
        <v>152</v>
      </c>
      <c r="F142" s="27"/>
      <c r="G142" s="28">
        <f>SUM(G143:G145)</f>
        <v>7024283.3899999997</v>
      </c>
      <c r="H142" s="28">
        <f t="shared" ref="H142:I142" si="121">SUM(H143:H145)</f>
        <v>12877800</v>
      </c>
      <c r="I142" s="28">
        <f t="shared" si="121"/>
        <v>19902083.390000001</v>
      </c>
      <c r="J142" s="28">
        <f>SUM(J143:J145)</f>
        <v>7713553.3899999997</v>
      </c>
      <c r="K142" s="28">
        <f t="shared" ref="K142" si="122">SUM(K143:K145)</f>
        <v>0</v>
      </c>
      <c r="L142" s="28">
        <f t="shared" ref="L142" si="123">SUM(L143:L145)</f>
        <v>7713553.3899999997</v>
      </c>
    </row>
    <row r="143" spans="1:12" ht="98.25" customHeight="1">
      <c r="A143" s="15" t="s">
        <v>135</v>
      </c>
      <c r="B143" s="3" t="s">
        <v>83</v>
      </c>
      <c r="C143" s="3" t="s">
        <v>36</v>
      </c>
      <c r="D143" s="3" t="s">
        <v>35</v>
      </c>
      <c r="E143" s="3" t="s">
        <v>252</v>
      </c>
      <c r="F143" s="3" t="s">
        <v>39</v>
      </c>
      <c r="G143" s="6">
        <f>5352013.02+54060.74</f>
        <v>5406073.7599999998</v>
      </c>
      <c r="H143" s="6">
        <v>0</v>
      </c>
      <c r="I143" s="6">
        <f t="shared" ref="I143:I145" si="124">G143+H143</f>
        <v>5406073.7599999998</v>
      </c>
      <c r="J143" s="6">
        <f>5352013.02+54060.74</f>
        <v>5406073.7599999998</v>
      </c>
      <c r="K143" s="6">
        <v>0</v>
      </c>
      <c r="L143" s="6">
        <f t="shared" ref="L143:L145" si="125">J143+K143</f>
        <v>5406073.7599999998</v>
      </c>
    </row>
    <row r="144" spans="1:12" ht="51" customHeight="1">
      <c r="A144" s="15" t="s">
        <v>239</v>
      </c>
      <c r="B144" s="3" t="s">
        <v>83</v>
      </c>
      <c r="C144" s="3" t="s">
        <v>36</v>
      </c>
      <c r="D144" s="3" t="s">
        <v>35</v>
      </c>
      <c r="E144" s="3" t="s">
        <v>253</v>
      </c>
      <c r="F144" s="3" t="s">
        <v>39</v>
      </c>
      <c r="G144" s="6">
        <v>1618209.63</v>
      </c>
      <c r="H144" s="6">
        <v>0</v>
      </c>
      <c r="I144" s="6">
        <f t="shared" ref="I144" si="126">G144+H144</f>
        <v>1618209.63</v>
      </c>
      <c r="J144" s="6">
        <v>2307479.63</v>
      </c>
      <c r="K144" s="6">
        <v>0</v>
      </c>
      <c r="L144" s="6">
        <f t="shared" ref="L144" si="127">J144+K144</f>
        <v>2307479.63</v>
      </c>
    </row>
    <row r="145" spans="1:12" ht="51" customHeight="1">
      <c r="A145" s="15" t="s">
        <v>262</v>
      </c>
      <c r="B145" s="3" t="s">
        <v>83</v>
      </c>
      <c r="C145" s="3" t="s">
        <v>36</v>
      </c>
      <c r="D145" s="3" t="s">
        <v>35</v>
      </c>
      <c r="E145" s="3" t="s">
        <v>261</v>
      </c>
      <c r="F145" s="3" t="s">
        <v>39</v>
      </c>
      <c r="G145" s="6">
        <v>0</v>
      </c>
      <c r="H145" s="6">
        <v>12877800</v>
      </c>
      <c r="I145" s="6">
        <f t="shared" si="124"/>
        <v>12877800</v>
      </c>
      <c r="J145" s="6">
        <v>0</v>
      </c>
      <c r="K145" s="6">
        <v>0</v>
      </c>
      <c r="L145" s="6">
        <f t="shared" si="125"/>
        <v>0</v>
      </c>
    </row>
    <row r="146" spans="1:12" s="9" customFormat="1" ht="31.5">
      <c r="A146" s="23" t="s">
        <v>146</v>
      </c>
      <c r="B146" s="27" t="s">
        <v>83</v>
      </c>
      <c r="C146" s="27" t="s">
        <v>36</v>
      </c>
      <c r="D146" s="27" t="s">
        <v>46</v>
      </c>
      <c r="E146" s="27" t="s">
        <v>152</v>
      </c>
      <c r="F146" s="27"/>
      <c r="G146" s="28">
        <f t="shared" ref="G146:L146" si="128">SUM(G147:G148)</f>
        <v>15180129.629999999</v>
      </c>
      <c r="H146" s="28">
        <f t="shared" si="128"/>
        <v>0</v>
      </c>
      <c r="I146" s="28">
        <f t="shared" si="128"/>
        <v>15180129.629999999</v>
      </c>
      <c r="J146" s="28">
        <f t="shared" si="128"/>
        <v>21383559.629999999</v>
      </c>
      <c r="K146" s="28">
        <f t="shared" si="128"/>
        <v>0</v>
      </c>
      <c r="L146" s="28">
        <f t="shared" si="128"/>
        <v>21383559.629999999</v>
      </c>
    </row>
    <row r="147" spans="1:12" s="9" customFormat="1" ht="49.5" customHeight="1">
      <c r="A147" s="53" t="s">
        <v>134</v>
      </c>
      <c r="B147" s="3" t="s">
        <v>83</v>
      </c>
      <c r="C147" s="3" t="s">
        <v>36</v>
      </c>
      <c r="D147" s="3" t="s">
        <v>46</v>
      </c>
      <c r="E147" s="3" t="s">
        <v>258</v>
      </c>
      <c r="F147" s="3" t="s">
        <v>39</v>
      </c>
      <c r="G147" s="6">
        <v>1618209.63</v>
      </c>
      <c r="H147" s="6">
        <v>0</v>
      </c>
      <c r="I147" s="6">
        <f t="shared" ref="I147:I148" si="129">G147+H147</f>
        <v>1618209.63</v>
      </c>
      <c r="J147" s="6">
        <v>2307479.63</v>
      </c>
      <c r="K147" s="6">
        <v>0</v>
      </c>
      <c r="L147" s="6">
        <f t="shared" ref="L147:L148" si="130">J147+K147</f>
        <v>2307479.63</v>
      </c>
    </row>
    <row r="148" spans="1:12" ht="110.25" customHeight="1">
      <c r="A148" s="15" t="s">
        <v>215</v>
      </c>
      <c r="B148" s="3" t="s">
        <v>83</v>
      </c>
      <c r="C148" s="3" t="s">
        <v>36</v>
      </c>
      <c r="D148" s="3" t="s">
        <v>46</v>
      </c>
      <c r="E148" s="3" t="s">
        <v>96</v>
      </c>
      <c r="F148" s="3" t="s">
        <v>97</v>
      </c>
      <c r="G148" s="6">
        <v>13561920</v>
      </c>
      <c r="H148" s="6">
        <v>0</v>
      </c>
      <c r="I148" s="6">
        <f t="shared" si="129"/>
        <v>13561920</v>
      </c>
      <c r="J148" s="6">
        <v>19076080</v>
      </c>
      <c r="K148" s="6">
        <v>0</v>
      </c>
      <c r="L148" s="6">
        <f t="shared" si="130"/>
        <v>19076080</v>
      </c>
    </row>
    <row r="149" spans="1:12" ht="57" customHeight="1">
      <c r="A149" s="23" t="s">
        <v>254</v>
      </c>
      <c r="B149" s="27" t="s">
        <v>83</v>
      </c>
      <c r="C149" s="27" t="s">
        <v>36</v>
      </c>
      <c r="D149" s="27" t="s">
        <v>49</v>
      </c>
      <c r="E149" s="27" t="s">
        <v>152</v>
      </c>
      <c r="F149" s="27"/>
      <c r="G149" s="28">
        <f>SUM(G150:G150)</f>
        <v>100000</v>
      </c>
      <c r="H149" s="28">
        <f t="shared" ref="H149:I149" si="131">SUM(H150:H150)</f>
        <v>0</v>
      </c>
      <c r="I149" s="28">
        <f t="shared" si="131"/>
        <v>100000</v>
      </c>
      <c r="J149" s="28">
        <f>SUM(J150:J150)</f>
        <v>100000</v>
      </c>
      <c r="K149" s="28">
        <f t="shared" ref="K149" si="132">SUM(K150:K150)</f>
        <v>0</v>
      </c>
      <c r="L149" s="28">
        <f t="shared" ref="L149" si="133">SUM(L150:L150)</f>
        <v>100000</v>
      </c>
    </row>
    <row r="150" spans="1:12" s="9" customFormat="1" ht="95.25" customHeight="1">
      <c r="A150" s="51" t="s">
        <v>255</v>
      </c>
      <c r="B150" s="50">
        <v>11</v>
      </c>
      <c r="C150" s="50" t="s">
        <v>36</v>
      </c>
      <c r="D150" s="50" t="s">
        <v>49</v>
      </c>
      <c r="E150" s="50" t="s">
        <v>257</v>
      </c>
      <c r="F150" s="50" t="s">
        <v>39</v>
      </c>
      <c r="G150" s="52">
        <v>100000</v>
      </c>
      <c r="H150" s="6">
        <v>0</v>
      </c>
      <c r="I150" s="6">
        <f t="shared" ref="I150" si="134">G150+H150</f>
        <v>100000</v>
      </c>
      <c r="J150" s="52">
        <v>100000</v>
      </c>
      <c r="K150" s="6">
        <v>0</v>
      </c>
      <c r="L150" s="6">
        <f t="shared" ref="L150" si="135">J150+K150</f>
        <v>100000</v>
      </c>
    </row>
    <row r="151" spans="1:12" s="9" customFormat="1" ht="75" customHeight="1">
      <c r="A151" s="23" t="s">
        <v>256</v>
      </c>
      <c r="B151" s="27" t="s">
        <v>83</v>
      </c>
      <c r="C151" s="27" t="s">
        <v>36</v>
      </c>
      <c r="D151" s="27" t="s">
        <v>52</v>
      </c>
      <c r="E151" s="27" t="s">
        <v>152</v>
      </c>
      <c r="F151" s="27"/>
      <c r="G151" s="28">
        <f>SUM(G152:G152)</f>
        <v>1000000</v>
      </c>
      <c r="H151" s="28">
        <f t="shared" ref="H151:I151" si="136">SUM(H152:H152)</f>
        <v>0</v>
      </c>
      <c r="I151" s="28">
        <f t="shared" si="136"/>
        <v>1000000</v>
      </c>
      <c r="J151" s="28">
        <f>SUM(J152:J152)</f>
        <v>1000000</v>
      </c>
      <c r="K151" s="28">
        <f t="shared" ref="K151" si="137">SUM(K152:K152)</f>
        <v>0</v>
      </c>
      <c r="L151" s="28">
        <f t="shared" ref="L151" si="138">SUM(L152:L152)</f>
        <v>1000000</v>
      </c>
    </row>
    <row r="152" spans="1:12" s="9" customFormat="1" ht="85.5" customHeight="1">
      <c r="A152" s="34" t="s">
        <v>242</v>
      </c>
      <c r="B152" s="35" t="s">
        <v>83</v>
      </c>
      <c r="C152" s="35" t="s">
        <v>36</v>
      </c>
      <c r="D152" s="35" t="s">
        <v>52</v>
      </c>
      <c r="E152" s="35" t="s">
        <v>238</v>
      </c>
      <c r="F152" s="35" t="s">
        <v>39</v>
      </c>
      <c r="G152" s="33">
        <v>1000000</v>
      </c>
      <c r="H152" s="6">
        <v>0</v>
      </c>
      <c r="I152" s="6">
        <f t="shared" ref="I152" si="139">G152+H152</f>
        <v>1000000</v>
      </c>
      <c r="J152" s="33">
        <v>1000000</v>
      </c>
      <c r="K152" s="6">
        <v>0</v>
      </c>
      <c r="L152" s="6">
        <f t="shared" ref="L152" si="140">J152+K152</f>
        <v>1000000</v>
      </c>
    </row>
    <row r="153" spans="1:12" s="10" customFormat="1" ht="40.5" customHeight="1">
      <c r="A153" s="17" t="s">
        <v>147</v>
      </c>
      <c r="B153" s="19" t="s">
        <v>87</v>
      </c>
      <c r="C153" s="19" t="s">
        <v>36</v>
      </c>
      <c r="D153" s="19" t="s">
        <v>105</v>
      </c>
      <c r="E153" s="19" t="s">
        <v>152</v>
      </c>
      <c r="F153" s="19"/>
      <c r="G153" s="22">
        <f>G156+G154</f>
        <v>10110431.4</v>
      </c>
      <c r="H153" s="22">
        <f t="shared" ref="H153:I153" si="141">H156+H154</f>
        <v>0</v>
      </c>
      <c r="I153" s="22">
        <f t="shared" si="141"/>
        <v>10110431.4</v>
      </c>
      <c r="J153" s="22">
        <f>J156</f>
        <v>990000</v>
      </c>
      <c r="K153" s="22">
        <f t="shared" ref="K153" si="142">K156+K154</f>
        <v>0</v>
      </c>
      <c r="L153" s="22">
        <f t="shared" ref="L153" si="143">L156+L154</f>
        <v>990000</v>
      </c>
    </row>
    <row r="154" spans="1:12" s="10" customFormat="1" ht="40.5" customHeight="1">
      <c r="A154" s="48" t="s">
        <v>251</v>
      </c>
      <c r="B154" s="27" t="s">
        <v>87</v>
      </c>
      <c r="C154" s="27" t="s">
        <v>36</v>
      </c>
      <c r="D154" s="27" t="s">
        <v>35</v>
      </c>
      <c r="E154" s="27" t="s">
        <v>152</v>
      </c>
      <c r="F154" s="45"/>
      <c r="G154" s="46">
        <f>G155</f>
        <v>8566106</v>
      </c>
      <c r="H154" s="46">
        <f t="shared" ref="H154:I154" si="144">H155</f>
        <v>0</v>
      </c>
      <c r="I154" s="46">
        <f t="shared" si="144"/>
        <v>8566106</v>
      </c>
      <c r="J154" s="46">
        <f>J155</f>
        <v>0</v>
      </c>
      <c r="K154" s="46">
        <f t="shared" ref="K154" si="145">K155</f>
        <v>0</v>
      </c>
      <c r="L154" s="46">
        <f t="shared" ref="L154" si="146">L155</f>
        <v>0</v>
      </c>
    </row>
    <row r="155" spans="1:12" s="10" customFormat="1" ht="54.75" customHeight="1">
      <c r="A155" s="49" t="s">
        <v>249</v>
      </c>
      <c r="B155" s="35" t="s">
        <v>87</v>
      </c>
      <c r="C155" s="35" t="s">
        <v>36</v>
      </c>
      <c r="D155" s="35" t="s">
        <v>35</v>
      </c>
      <c r="E155" s="35" t="s">
        <v>250</v>
      </c>
      <c r="F155" s="35" t="s">
        <v>98</v>
      </c>
      <c r="G155" s="33">
        <f>8137800+428306</f>
        <v>8566106</v>
      </c>
      <c r="H155" s="6">
        <v>0</v>
      </c>
      <c r="I155" s="6">
        <f t="shared" ref="I155" si="147">G155+H155</f>
        <v>8566106</v>
      </c>
      <c r="J155" s="33">
        <v>0</v>
      </c>
      <c r="K155" s="6">
        <v>0</v>
      </c>
      <c r="L155" s="6">
        <f t="shared" ref="L155" si="148">J155+K155</f>
        <v>0</v>
      </c>
    </row>
    <row r="156" spans="1:12" s="9" customFormat="1" ht="31.5">
      <c r="A156" s="23" t="s">
        <v>148</v>
      </c>
      <c r="B156" s="27" t="s">
        <v>87</v>
      </c>
      <c r="C156" s="27" t="s">
        <v>36</v>
      </c>
      <c r="D156" s="27" t="s">
        <v>46</v>
      </c>
      <c r="E156" s="27" t="s">
        <v>152</v>
      </c>
      <c r="F156" s="27"/>
      <c r="G156" s="28">
        <f>SUM(G157:G159)</f>
        <v>1544325.4</v>
      </c>
      <c r="H156" s="28">
        <f t="shared" ref="H156:I156" si="149">SUM(H157:H159)</f>
        <v>0</v>
      </c>
      <c r="I156" s="28">
        <f t="shared" si="149"/>
        <v>1544325.4</v>
      </c>
      <c r="J156" s="28">
        <f>SUM(J157:J159)</f>
        <v>990000</v>
      </c>
      <c r="K156" s="28">
        <f t="shared" ref="K156" si="150">SUM(K157:K159)</f>
        <v>0</v>
      </c>
      <c r="L156" s="28">
        <f t="shared" ref="L156" si="151">SUM(L157:L159)</f>
        <v>990000</v>
      </c>
    </row>
    <row r="157" spans="1:12" ht="63">
      <c r="A157" s="15" t="s">
        <v>5</v>
      </c>
      <c r="B157" s="3" t="s">
        <v>87</v>
      </c>
      <c r="C157" s="3" t="s">
        <v>36</v>
      </c>
      <c r="D157" s="3" t="s">
        <v>46</v>
      </c>
      <c r="E157" s="3" t="s">
        <v>99</v>
      </c>
      <c r="F157" s="3" t="s">
        <v>39</v>
      </c>
      <c r="G157" s="6">
        <v>1002855.4</v>
      </c>
      <c r="H157" s="6">
        <v>0</v>
      </c>
      <c r="I157" s="6">
        <f t="shared" ref="I157:I158" si="152">G157+H157</f>
        <v>1002855.4</v>
      </c>
      <c r="J157" s="6">
        <v>500000</v>
      </c>
      <c r="K157" s="6">
        <v>0</v>
      </c>
      <c r="L157" s="6">
        <f t="shared" ref="L157:L159" si="153">J157+K157</f>
        <v>500000</v>
      </c>
    </row>
    <row r="158" spans="1:12" ht="63.75" customHeight="1">
      <c r="A158" s="15" t="s">
        <v>6</v>
      </c>
      <c r="B158" s="3" t="s">
        <v>87</v>
      </c>
      <c r="C158" s="3" t="s">
        <v>36</v>
      </c>
      <c r="D158" s="3" t="s">
        <v>46</v>
      </c>
      <c r="E158" s="3" t="s">
        <v>100</v>
      </c>
      <c r="F158" s="3" t="s">
        <v>39</v>
      </c>
      <c r="G158" s="6">
        <v>90000</v>
      </c>
      <c r="H158" s="6">
        <v>0</v>
      </c>
      <c r="I158" s="6">
        <f t="shared" si="152"/>
        <v>90000</v>
      </c>
      <c r="J158" s="6">
        <v>90000</v>
      </c>
      <c r="K158" s="6">
        <v>0</v>
      </c>
      <c r="L158" s="6">
        <f t="shared" si="153"/>
        <v>90000</v>
      </c>
    </row>
    <row r="159" spans="1:12" ht="93.75" customHeight="1">
      <c r="A159" s="15" t="s">
        <v>7</v>
      </c>
      <c r="B159" s="3" t="s">
        <v>87</v>
      </c>
      <c r="C159" s="3" t="s">
        <v>36</v>
      </c>
      <c r="D159" s="3" t="s">
        <v>46</v>
      </c>
      <c r="E159" s="3" t="s">
        <v>101</v>
      </c>
      <c r="F159" s="3" t="s">
        <v>39</v>
      </c>
      <c r="G159" s="6">
        <f>879776-428306</f>
        <v>451470</v>
      </c>
      <c r="H159" s="6">
        <v>0</v>
      </c>
      <c r="I159" s="6">
        <f t="shared" ref="I159" si="154">G159+H159</f>
        <v>451470</v>
      </c>
      <c r="J159" s="6">
        <v>400000</v>
      </c>
      <c r="K159" s="6">
        <v>0</v>
      </c>
      <c r="L159" s="6">
        <f t="shared" si="153"/>
        <v>400000</v>
      </c>
    </row>
    <row r="160" spans="1:12" s="10" customFormat="1" ht="111" customHeight="1">
      <c r="A160" s="17" t="s">
        <v>149</v>
      </c>
      <c r="B160" s="19" t="s">
        <v>102</v>
      </c>
      <c r="C160" s="19" t="s">
        <v>36</v>
      </c>
      <c r="D160" s="19" t="s">
        <v>105</v>
      </c>
      <c r="E160" s="19" t="s">
        <v>152</v>
      </c>
      <c r="F160" s="19"/>
      <c r="G160" s="22">
        <f>G161</f>
        <v>2209680</v>
      </c>
      <c r="H160" s="22">
        <f t="shared" ref="H160:I160" si="155">H161</f>
        <v>0</v>
      </c>
      <c r="I160" s="22">
        <f t="shared" si="155"/>
        <v>2209680</v>
      </c>
      <c r="J160" s="22">
        <f>J161</f>
        <v>2209680</v>
      </c>
      <c r="K160" s="22">
        <f t="shared" ref="K160" si="156">K161</f>
        <v>0</v>
      </c>
      <c r="L160" s="22">
        <f t="shared" ref="L160" si="157">L161</f>
        <v>2209680</v>
      </c>
    </row>
    <row r="161" spans="1:12" s="9" customFormat="1" ht="63.75" customHeight="1">
      <c r="A161" s="23" t="s">
        <v>150</v>
      </c>
      <c r="B161" s="27" t="s">
        <v>102</v>
      </c>
      <c r="C161" s="27" t="s">
        <v>36</v>
      </c>
      <c r="D161" s="27" t="s">
        <v>35</v>
      </c>
      <c r="E161" s="27" t="s">
        <v>152</v>
      </c>
      <c r="F161" s="27"/>
      <c r="G161" s="28">
        <f t="shared" ref="G161:L161" si="158">SUM(G162:G162)</f>
        <v>2209680</v>
      </c>
      <c r="H161" s="28">
        <f t="shared" si="158"/>
        <v>0</v>
      </c>
      <c r="I161" s="28">
        <f t="shared" si="158"/>
        <v>2209680</v>
      </c>
      <c r="J161" s="28">
        <f t="shared" si="158"/>
        <v>2209680</v>
      </c>
      <c r="K161" s="28">
        <f t="shared" si="158"/>
        <v>0</v>
      </c>
      <c r="L161" s="28">
        <f t="shared" si="158"/>
        <v>2209680</v>
      </c>
    </row>
    <row r="162" spans="1:12" s="44" customFormat="1" ht="79.5" customHeight="1">
      <c r="A162" s="34" t="s">
        <v>10</v>
      </c>
      <c r="B162" s="35" t="s">
        <v>102</v>
      </c>
      <c r="C162" s="35" t="s">
        <v>36</v>
      </c>
      <c r="D162" s="35" t="s">
        <v>35</v>
      </c>
      <c r="E162" s="35" t="s">
        <v>235</v>
      </c>
      <c r="F162" s="35" t="s">
        <v>98</v>
      </c>
      <c r="G162" s="33">
        <v>2209680</v>
      </c>
      <c r="H162" s="6">
        <v>0</v>
      </c>
      <c r="I162" s="6">
        <f t="shared" ref="I162" si="159">G162+H162</f>
        <v>2209680</v>
      </c>
      <c r="J162" s="33">
        <v>2209680</v>
      </c>
      <c r="K162" s="6">
        <v>0</v>
      </c>
      <c r="L162" s="6">
        <f t="shared" ref="L162" si="160">J162+K162</f>
        <v>2209680</v>
      </c>
    </row>
    <row r="163" spans="1:12" s="43" customFormat="1" ht="27.75" customHeight="1">
      <c r="A163" s="42" t="s">
        <v>151</v>
      </c>
      <c r="B163" s="19" t="s">
        <v>103</v>
      </c>
      <c r="C163" s="19" t="s">
        <v>104</v>
      </c>
      <c r="D163" s="19" t="s">
        <v>105</v>
      </c>
      <c r="E163" s="19" t="s">
        <v>152</v>
      </c>
      <c r="F163" s="19"/>
      <c r="G163" s="22">
        <f t="shared" ref="G163:L163" si="161">SUM(G164:G166)</f>
        <v>1396319.85</v>
      </c>
      <c r="H163" s="22">
        <f t="shared" si="161"/>
        <v>-667492.07999999996</v>
      </c>
      <c r="I163" s="22">
        <f t="shared" si="161"/>
        <v>728827.77</v>
      </c>
      <c r="J163" s="22">
        <f t="shared" si="161"/>
        <v>1400547.38</v>
      </c>
      <c r="K163" s="22">
        <f t="shared" si="161"/>
        <v>-685606.38</v>
      </c>
      <c r="L163" s="22">
        <f t="shared" si="161"/>
        <v>714941</v>
      </c>
    </row>
    <row r="164" spans="1:12" ht="94.5">
      <c r="A164" s="15" t="s">
        <v>178</v>
      </c>
      <c r="B164" s="3" t="s">
        <v>103</v>
      </c>
      <c r="C164" s="3" t="s">
        <v>104</v>
      </c>
      <c r="D164" s="3" t="s">
        <v>105</v>
      </c>
      <c r="E164" s="3" t="s">
        <v>106</v>
      </c>
      <c r="F164" s="3" t="s">
        <v>38</v>
      </c>
      <c r="G164" s="6">
        <v>707338</v>
      </c>
      <c r="H164" s="6">
        <v>0</v>
      </c>
      <c r="I164" s="6">
        <f t="shared" ref="I164:I166" si="162">G164+H164</f>
        <v>707338</v>
      </c>
      <c r="J164" s="6">
        <v>707338</v>
      </c>
      <c r="K164" s="6">
        <v>0</v>
      </c>
      <c r="L164" s="6">
        <f t="shared" ref="L164:L166" si="163">J164+K164</f>
        <v>707338</v>
      </c>
    </row>
    <row r="165" spans="1:12" ht="78.75">
      <c r="A165" s="15" t="s">
        <v>246</v>
      </c>
      <c r="B165" s="3" t="s">
        <v>103</v>
      </c>
      <c r="C165" s="3" t="s">
        <v>104</v>
      </c>
      <c r="D165" s="3" t="s">
        <v>105</v>
      </c>
      <c r="E165" s="3" t="s">
        <v>247</v>
      </c>
      <c r="F165" s="3" t="s">
        <v>39</v>
      </c>
      <c r="G165" s="6">
        <v>21489.77</v>
      </c>
      <c r="H165" s="6">
        <v>0</v>
      </c>
      <c r="I165" s="6">
        <f t="shared" si="162"/>
        <v>21489.77</v>
      </c>
      <c r="J165" s="6">
        <v>7603</v>
      </c>
      <c r="K165" s="6">
        <v>0</v>
      </c>
      <c r="L165" s="6">
        <f t="shared" si="163"/>
        <v>7603</v>
      </c>
    </row>
    <row r="166" spans="1:12" ht="48.75" customHeight="1">
      <c r="A166" s="38" t="s">
        <v>173</v>
      </c>
      <c r="B166" s="3" t="s">
        <v>103</v>
      </c>
      <c r="C166" s="3" t="s">
        <v>104</v>
      </c>
      <c r="D166" s="3" t="s">
        <v>105</v>
      </c>
      <c r="E166" s="3" t="s">
        <v>172</v>
      </c>
      <c r="F166" s="3" t="s">
        <v>39</v>
      </c>
      <c r="G166" s="6">
        <v>667492.07999999996</v>
      </c>
      <c r="H166" s="6">
        <v>-667492.07999999996</v>
      </c>
      <c r="I166" s="6">
        <f t="shared" si="162"/>
        <v>0</v>
      </c>
      <c r="J166" s="6">
        <v>685606.38</v>
      </c>
      <c r="K166" s="6">
        <v>-685606.38</v>
      </c>
      <c r="L166" s="6">
        <f t="shared" si="163"/>
        <v>0</v>
      </c>
    </row>
    <row r="167" spans="1:12" s="13" customFormat="1" ht="18" customHeight="1">
      <c r="A167" s="18" t="s">
        <v>29</v>
      </c>
      <c r="B167" s="12"/>
      <c r="C167" s="12"/>
      <c r="D167" s="12"/>
      <c r="E167" s="12"/>
      <c r="F167" s="12"/>
      <c r="G167" s="21">
        <f>G8+G66+G99+G104+G125+G134+G141+G153+G160+G163</f>
        <v>328699507.55999994</v>
      </c>
      <c r="H167" s="21">
        <f t="shared" ref="H167:L167" si="164">H8+H66+H99+H104+H125+H134+H141+H153+H160+H163</f>
        <v>30298362.840000004</v>
      </c>
      <c r="I167" s="21">
        <f t="shared" si="164"/>
        <v>358997870.39999992</v>
      </c>
      <c r="J167" s="21">
        <f t="shared" si="164"/>
        <v>308532635.43000001</v>
      </c>
      <c r="K167" s="21">
        <f t="shared" si="164"/>
        <v>212011364.90000001</v>
      </c>
      <c r="L167" s="21">
        <f t="shared" si="164"/>
        <v>520544000.32999998</v>
      </c>
    </row>
    <row r="168" spans="1:12" ht="11.25" hidden="1" customHeight="1">
      <c r="J168" s="7"/>
    </row>
    <row r="169" spans="1:12" ht="2.25" hidden="1" customHeight="1">
      <c r="J169" s="7"/>
    </row>
    <row r="170" spans="1:12" ht="22.5" hidden="1" customHeight="1">
      <c r="G170" s="7">
        <v>262596726.47</v>
      </c>
      <c r="J170" s="7">
        <v>262596726.47</v>
      </c>
    </row>
    <row r="171" spans="1:12" ht="0.75" hidden="1" customHeight="1">
      <c r="G171" s="7">
        <v>262596726.47</v>
      </c>
      <c r="J171" s="7">
        <v>262596726.47</v>
      </c>
    </row>
    <row r="172" spans="1:12" hidden="1">
      <c r="G172" s="7">
        <v>333449507.56</v>
      </c>
      <c r="J172" s="7">
        <v>318082635.43000001</v>
      </c>
    </row>
    <row r="173" spans="1:12" ht="0.75" hidden="1" customHeight="1">
      <c r="G173" s="7">
        <v>279877433.27999997</v>
      </c>
      <c r="J173" s="7">
        <v>279877433.27999997</v>
      </c>
    </row>
    <row r="174" spans="1:12" hidden="1"/>
    <row r="175" spans="1:12" hidden="1">
      <c r="G175" s="7">
        <f>G167-G173</f>
        <v>48822074.279999971</v>
      </c>
    </row>
    <row r="176" spans="1:12" hidden="1"/>
    <row r="177" spans="7:12" hidden="1">
      <c r="G177" s="7">
        <f>G172-G167</f>
        <v>4750000.0000000596</v>
      </c>
      <c r="J177" s="7">
        <f>J172-J167</f>
        <v>9550000</v>
      </c>
    </row>
    <row r="178" spans="7:12">
      <c r="G178" s="47"/>
      <c r="H178" s="47"/>
      <c r="I178" s="47"/>
      <c r="K178" s="47"/>
      <c r="L178" s="47"/>
    </row>
  </sheetData>
  <autoFilter ref="A7:IB167">
    <filterColumn colId="7"/>
    <filterColumn colId="8"/>
  </autoFilter>
  <mergeCells count="11">
    <mergeCell ref="H6:H7"/>
    <mergeCell ref="I6:I7"/>
    <mergeCell ref="K6:K7"/>
    <mergeCell ref="L6:L7"/>
    <mergeCell ref="B1:L1"/>
    <mergeCell ref="A4:L4"/>
    <mergeCell ref="J6:J7"/>
    <mergeCell ref="B6:E6"/>
    <mergeCell ref="A6:A7"/>
    <mergeCell ref="G6:G7"/>
    <mergeCell ref="F6:F7"/>
  </mergeCells>
  <phoneticPr fontId="0" type="noConversion"/>
  <pageMargins left="0.39370078740157483" right="0.39370078740157483" top="0.55118110236220474" bottom="0.39370078740157483" header="0.31496062992125984" footer="0.31496062992125984"/>
  <pageSetup paperSize="9" scale="74"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2025-03-20T08:16:32Z</cp:lastPrinted>
  <dcterms:created xsi:type="dcterms:W3CDTF">2013-10-30T08:55:37Z</dcterms:created>
  <dcterms:modified xsi:type="dcterms:W3CDTF">2025-03-20T08:16:33Z</dcterms:modified>
</cp:coreProperties>
</file>